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D:\แบงก์-ล่าสุด\30ก.ย.66\"/>
    </mc:Choice>
  </mc:AlternateContent>
  <xr:revisionPtr revIDLastSave="0" documentId="13_ncr:1_{66F3DE35-50FE-413C-AF5D-27C52B350835}" xr6:coauthVersionLast="37" xr6:coauthVersionMax="37" xr10:uidLastSave="{00000000-0000-0000-0000-000000000000}"/>
  <bookViews>
    <workbookView xWindow="0" yWindow="0" windowWidth="24000" windowHeight="9525" firstSheet="4" activeTab="14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externalReferences>
    <externalReference r:id="rId16"/>
  </externalReferences>
  <definedNames>
    <definedName name="_xlnm.Print_Area" localSheetId="1">กระบี่!$A$1:$P$828</definedName>
    <definedName name="_xlnm.Print_Area" localSheetId="2">ชุมพร!$A$1:$P$828</definedName>
    <definedName name="_xlnm.Print_Area" localSheetId="3">ตรัง!$A$1:$P$828</definedName>
    <definedName name="_xlnm.Print_Area" localSheetId="4">นครศรีธรรมราช!$A$1:$P$828</definedName>
    <definedName name="_xlnm.Print_Area" localSheetId="5">นราธิวาส!$A$1:$P$828</definedName>
    <definedName name="_xlnm.Print_Area" localSheetId="6">ปัตตานี!$A$1:$P$828</definedName>
    <definedName name="_xlnm.Print_Area" localSheetId="7">พังงา!$A$1:$P$828</definedName>
    <definedName name="_xlnm.Print_Area" localSheetId="8">พัทลุง!$A$1:$P$828</definedName>
    <definedName name="_xlnm.Print_Area" localSheetId="10">ยะลา!$A$1:$P$828</definedName>
    <definedName name="_xlnm.Print_Area" localSheetId="0">รวมใต้!$A$1:$P$828</definedName>
    <definedName name="_xlnm.Print_Area" localSheetId="11">ระนอง!$A$1:$P$828</definedName>
    <definedName name="_xlnm.Print_Area" localSheetId="12">สงขลา!$A$1:$P$828</definedName>
    <definedName name="_xlnm.Print_Area" localSheetId="13">สตูล!$A$1:$P$828</definedName>
    <definedName name="_xlnm.Print_Area" localSheetId="14">สุราษฎร์ธานี!$A$1:$P$828</definedName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</definedNames>
  <calcPr calcId="179021"/>
</workbook>
</file>

<file path=xl/calcChain.xml><?xml version="1.0" encoding="utf-8"?>
<calcChain xmlns="http://schemas.openxmlformats.org/spreadsheetml/2006/main">
  <c r="L15" i="15" l="1"/>
  <c r="L22" i="15"/>
  <c r="M22" i="15"/>
  <c r="N22" i="15"/>
  <c r="N12" i="15" s="1"/>
  <c r="P22" i="15"/>
  <c r="L25" i="15"/>
  <c r="M25" i="15"/>
  <c r="M15" i="15" s="1"/>
  <c r="N25" i="15"/>
  <c r="N15" i="15" s="1"/>
  <c r="O25" i="15"/>
  <c r="L32" i="15"/>
  <c r="M32" i="15"/>
  <c r="M29" i="15" s="1"/>
  <c r="N32" i="15"/>
  <c r="N29" i="15" s="1"/>
  <c r="O32" i="15"/>
  <c r="N34" i="15"/>
  <c r="L35" i="15"/>
  <c r="L29" i="15" s="1"/>
  <c r="M35" i="15"/>
  <c r="M34" i="15" s="1"/>
  <c r="P34" i="15" s="1"/>
  <c r="N35" i="15"/>
  <c r="P35" i="15"/>
  <c r="M36" i="15"/>
  <c r="P36" i="15" s="1"/>
  <c r="N36" i="15"/>
  <c r="L42" i="15"/>
  <c r="M42" i="15"/>
  <c r="N42" i="15"/>
  <c r="O42" i="15"/>
  <c r="P42" i="15"/>
  <c r="O45" i="15"/>
  <c r="P45" i="15"/>
  <c r="L46" i="15"/>
  <c r="M46" i="15"/>
  <c r="M44" i="15" s="1"/>
  <c r="N46" i="15"/>
  <c r="O48" i="15"/>
  <c r="P48" i="15"/>
  <c r="L49" i="15"/>
  <c r="L47" i="15" s="1"/>
  <c r="O47" i="15" s="1"/>
  <c r="M49" i="15"/>
  <c r="P49" i="15" s="1"/>
  <c r="N49" i="15"/>
  <c r="N47" i="15" s="1"/>
  <c r="L54" i="15"/>
  <c r="M54" i="15"/>
  <c r="N54" i="15"/>
  <c r="O54" i="15"/>
  <c r="O57" i="15"/>
  <c r="P57" i="15"/>
  <c r="L58" i="15"/>
  <c r="M58" i="15"/>
  <c r="M56" i="15" s="1"/>
  <c r="N58" i="15"/>
  <c r="O60" i="15"/>
  <c r="P60" i="15"/>
  <c r="L61" i="15"/>
  <c r="M61" i="15"/>
  <c r="M59" i="15" s="1"/>
  <c r="N61" i="15"/>
  <c r="J64" i="15"/>
  <c r="L67" i="15"/>
  <c r="O67" i="15" s="1"/>
  <c r="M67" i="15"/>
  <c r="N67" i="15"/>
  <c r="P67" i="15"/>
  <c r="O70" i="15"/>
  <c r="P70" i="15"/>
  <c r="L71" i="15"/>
  <c r="L69" i="15" s="1"/>
  <c r="M71" i="15"/>
  <c r="N71" i="15"/>
  <c r="N69" i="15" s="1"/>
  <c r="O73" i="15"/>
  <c r="P73" i="15"/>
  <c r="L74" i="15"/>
  <c r="L72" i="15" s="1"/>
  <c r="O72" i="15" s="1"/>
  <c r="M74" i="15"/>
  <c r="P74" i="15" s="1"/>
  <c r="N74" i="15"/>
  <c r="N72" i="15" s="1"/>
  <c r="J76" i="15"/>
  <c r="J77" i="15"/>
  <c r="J65" i="15" s="1"/>
  <c r="I78" i="15"/>
  <c r="K78" i="15" s="1"/>
  <c r="I79" i="15"/>
  <c r="K79" i="15" s="1"/>
  <c r="I80" i="15"/>
  <c r="K80" i="15" s="1"/>
  <c r="I81" i="15"/>
  <c r="I82" i="15"/>
  <c r="K82" i="15" s="1"/>
  <c r="I83" i="15"/>
  <c r="K83" i="15" s="1"/>
  <c r="I84" i="15"/>
  <c r="K84" i="15" s="1"/>
  <c r="J87" i="15"/>
  <c r="L89" i="15"/>
  <c r="M89" i="15"/>
  <c r="P89" i="15" s="1"/>
  <c r="N89" i="15"/>
  <c r="O89" i="15"/>
  <c r="O92" i="15"/>
  <c r="P92" i="15"/>
  <c r="L93" i="15"/>
  <c r="M93" i="15"/>
  <c r="N93" i="15"/>
  <c r="N91" i="15" s="1"/>
  <c r="O95" i="15"/>
  <c r="P95" i="15"/>
  <c r="L96" i="15"/>
  <c r="M96" i="15"/>
  <c r="P96" i="15" s="1"/>
  <c r="N96" i="15"/>
  <c r="N94" i="15" s="1"/>
  <c r="I98" i="15"/>
  <c r="I86" i="15" s="1"/>
  <c r="J98" i="15"/>
  <c r="I99" i="15"/>
  <c r="I87" i="15" s="1"/>
  <c r="J99" i="15"/>
  <c r="I100" i="15"/>
  <c r="J100" i="15"/>
  <c r="I102" i="15"/>
  <c r="K102" i="15" s="1"/>
  <c r="I103" i="15"/>
  <c r="K103" i="15" s="1"/>
  <c r="I104" i="15"/>
  <c r="K104" i="15" s="1"/>
  <c r="I106" i="15"/>
  <c r="K106" i="15" s="1"/>
  <c r="I107" i="15"/>
  <c r="K107" i="15" s="1"/>
  <c r="I109" i="15"/>
  <c r="K109" i="15" s="1"/>
  <c r="I110" i="15"/>
  <c r="K110" i="15" s="1"/>
  <c r="I111" i="15"/>
  <c r="K111" i="15" s="1"/>
  <c r="J111" i="15"/>
  <c r="J112" i="15"/>
  <c r="I113" i="15"/>
  <c r="K113" i="15" s="1"/>
  <c r="I114" i="15"/>
  <c r="K114" i="15" s="1"/>
  <c r="I115" i="15"/>
  <c r="K115" i="15" s="1"/>
  <c r="I116" i="15"/>
  <c r="K118" i="15"/>
  <c r="L120" i="15"/>
  <c r="M120" i="15"/>
  <c r="N120" i="15"/>
  <c r="P120" i="15"/>
  <c r="O123" i="15"/>
  <c r="P123" i="15"/>
  <c r="L124" i="15"/>
  <c r="L122" i="15" s="1"/>
  <c r="O122" i="15" s="1"/>
  <c r="M124" i="15"/>
  <c r="N124" i="15"/>
  <c r="O126" i="15"/>
  <c r="P126" i="15"/>
  <c r="L127" i="15"/>
  <c r="L125" i="15" s="1"/>
  <c r="O125" i="15" s="1"/>
  <c r="M127" i="15"/>
  <c r="N127" i="15"/>
  <c r="N125" i="15" s="1"/>
  <c r="J130" i="15"/>
  <c r="L133" i="15"/>
  <c r="M133" i="15"/>
  <c r="P133" i="15" s="1"/>
  <c r="N133" i="15"/>
  <c r="O133" i="15"/>
  <c r="O136" i="15"/>
  <c r="P136" i="15"/>
  <c r="L137" i="15"/>
  <c r="L135" i="15" s="1"/>
  <c r="M137" i="15"/>
  <c r="M135" i="15" s="1"/>
  <c r="N137" i="15"/>
  <c r="N135" i="15" s="1"/>
  <c r="O139" i="15"/>
  <c r="P139" i="15"/>
  <c r="L140" i="15"/>
  <c r="L138" i="15" s="1"/>
  <c r="M140" i="15"/>
  <c r="M138" i="15" s="1"/>
  <c r="N140" i="15"/>
  <c r="N138" i="15" s="1"/>
  <c r="I144" i="15"/>
  <c r="I145" i="15"/>
  <c r="I146" i="15"/>
  <c r="I130" i="15" s="1"/>
  <c r="K130" i="15" s="1"/>
  <c r="J148" i="15"/>
  <c r="L150" i="15"/>
  <c r="M150" i="15"/>
  <c r="N150" i="15"/>
  <c r="P150" i="15"/>
  <c r="O153" i="15"/>
  <c r="P153" i="15"/>
  <c r="L154" i="15"/>
  <c r="M154" i="15"/>
  <c r="N154" i="15"/>
  <c r="N152" i="15" s="1"/>
  <c r="O156" i="15"/>
  <c r="P156" i="15"/>
  <c r="L157" i="15"/>
  <c r="O157" i="15" s="1"/>
  <c r="M157" i="15"/>
  <c r="N157" i="15"/>
  <c r="N155" i="15" s="1"/>
  <c r="I159" i="15"/>
  <c r="I148" i="15" s="1"/>
  <c r="K148" i="15" s="1"/>
  <c r="L166" i="15"/>
  <c r="M166" i="15"/>
  <c r="N166" i="15"/>
  <c r="O166" i="15"/>
  <c r="P166" i="15"/>
  <c r="O169" i="15"/>
  <c r="P169" i="15"/>
  <c r="L170" i="15"/>
  <c r="M170" i="15"/>
  <c r="M168" i="15" s="1"/>
  <c r="N170" i="15"/>
  <c r="N168" i="15" s="1"/>
  <c r="O172" i="15"/>
  <c r="P172" i="15"/>
  <c r="L173" i="15"/>
  <c r="L171" i="15" s="1"/>
  <c r="O171" i="15" s="1"/>
  <c r="M173" i="15"/>
  <c r="M171" i="15" s="1"/>
  <c r="P171" i="15" s="1"/>
  <c r="N173" i="15"/>
  <c r="N171" i="15" s="1"/>
  <c r="J174" i="15"/>
  <c r="J164" i="15" s="1"/>
  <c r="I176" i="15"/>
  <c r="I174" i="15" s="1"/>
  <c r="K174" i="15" s="1"/>
  <c r="J177" i="15"/>
  <c r="L182" i="15"/>
  <c r="M182" i="15"/>
  <c r="N182" i="15"/>
  <c r="O182" i="15"/>
  <c r="P182" i="15"/>
  <c r="O185" i="15"/>
  <c r="P185" i="15"/>
  <c r="L186" i="15"/>
  <c r="L184" i="15" s="1"/>
  <c r="M186" i="15"/>
  <c r="N186" i="15"/>
  <c r="N184" i="15" s="1"/>
  <c r="O188" i="15"/>
  <c r="P188" i="15"/>
  <c r="L189" i="15"/>
  <c r="L187" i="15" s="1"/>
  <c r="O187" i="15" s="1"/>
  <c r="M189" i="15"/>
  <c r="P189" i="15" s="1"/>
  <c r="N189" i="15"/>
  <c r="N187" i="15" s="1"/>
  <c r="J190" i="15"/>
  <c r="L191" i="15"/>
  <c r="O191" i="15" s="1"/>
  <c r="P191" i="15"/>
  <c r="I193" i="15"/>
  <c r="K193" i="15" s="1"/>
  <c r="J194" i="15"/>
  <c r="J197" i="15"/>
  <c r="N198" i="15"/>
  <c r="P198" i="15"/>
  <c r="L199" i="15"/>
  <c r="L200" i="15"/>
  <c r="L201" i="15"/>
  <c r="L202" i="15"/>
  <c r="I204" i="15"/>
  <c r="I197" i="15" s="1"/>
  <c r="K197" i="15" s="1"/>
  <c r="K206" i="15"/>
  <c r="K207" i="15"/>
  <c r="J208" i="15"/>
  <c r="N209" i="15"/>
  <c r="P209" i="15"/>
  <c r="L210" i="15"/>
  <c r="L211" i="15"/>
  <c r="L212" i="15"/>
  <c r="I214" i="15"/>
  <c r="K214" i="15" s="1"/>
  <c r="I215" i="15"/>
  <c r="K215" i="15" s="1"/>
  <c r="J216" i="15"/>
  <c r="N217" i="15"/>
  <c r="P217" i="15"/>
  <c r="L218" i="15"/>
  <c r="L219" i="15"/>
  <c r="L220" i="15"/>
  <c r="I223" i="15"/>
  <c r="K223" i="15" s="1"/>
  <c r="I224" i="15"/>
  <c r="I216" i="15" s="1"/>
  <c r="K216" i="15" s="1"/>
  <c r="I225" i="15"/>
  <c r="K225" i="15" s="1"/>
  <c r="N227" i="15"/>
  <c r="N228" i="15"/>
  <c r="N229" i="15"/>
  <c r="N230" i="15"/>
  <c r="N231" i="15"/>
  <c r="J233" i="15"/>
  <c r="I235" i="15"/>
  <c r="K235" i="15" s="1"/>
  <c r="J235" i="15"/>
  <c r="I236" i="15"/>
  <c r="J236" i="15"/>
  <c r="K236" i="15"/>
  <c r="J237" i="15"/>
  <c r="J226" i="15" s="1"/>
  <c r="J180" i="15" s="1"/>
  <c r="N238" i="15"/>
  <c r="P238" i="15"/>
  <c r="L239" i="15"/>
  <c r="L240" i="15"/>
  <c r="L241" i="15"/>
  <c r="L242" i="15"/>
  <c r="I244" i="15"/>
  <c r="K244" i="15" s="1"/>
  <c r="K246" i="15"/>
  <c r="K247" i="15"/>
  <c r="J248" i="15"/>
  <c r="N249" i="15"/>
  <c r="P249" i="15"/>
  <c r="L250" i="15"/>
  <c r="L251" i="15"/>
  <c r="L252" i="15"/>
  <c r="L253" i="15"/>
  <c r="I255" i="15"/>
  <c r="K257" i="15"/>
  <c r="K258" i="15"/>
  <c r="J260" i="15"/>
  <c r="L262" i="15"/>
  <c r="M262" i="15"/>
  <c r="N262" i="15"/>
  <c r="O262" i="15"/>
  <c r="P262" i="15"/>
  <c r="O265" i="15"/>
  <c r="P265" i="15"/>
  <c r="L266" i="15"/>
  <c r="M266" i="15"/>
  <c r="M264" i="15" s="1"/>
  <c r="N266" i="15"/>
  <c r="O268" i="15"/>
  <c r="P268" i="15"/>
  <c r="L269" i="15"/>
  <c r="L267" i="15" s="1"/>
  <c r="O267" i="15" s="1"/>
  <c r="M269" i="15"/>
  <c r="N269" i="15"/>
  <c r="N267" i="15" s="1"/>
  <c r="I271" i="15"/>
  <c r="K271" i="15" s="1"/>
  <c r="J276" i="15"/>
  <c r="L278" i="15"/>
  <c r="M278" i="15"/>
  <c r="N278" i="15"/>
  <c r="O278" i="15"/>
  <c r="O281" i="15"/>
  <c r="P281" i="15"/>
  <c r="L282" i="15"/>
  <c r="L280" i="15" s="1"/>
  <c r="M282" i="15"/>
  <c r="M280" i="15" s="1"/>
  <c r="N282" i="15"/>
  <c r="O284" i="15"/>
  <c r="P284" i="15"/>
  <c r="L285" i="15"/>
  <c r="O285" i="15" s="1"/>
  <c r="M285" i="15"/>
  <c r="M283" i="15" s="1"/>
  <c r="P283" i="15" s="1"/>
  <c r="N285" i="15"/>
  <c r="N283" i="15" s="1"/>
  <c r="I287" i="15"/>
  <c r="I276" i="15" s="1"/>
  <c r="K276" i="15" s="1"/>
  <c r="I288" i="15"/>
  <c r="I275" i="15" s="1"/>
  <c r="I290" i="15"/>
  <c r="K290" i="15" s="1"/>
  <c r="I291" i="15"/>
  <c r="K291" i="15" s="1"/>
  <c r="I293" i="15"/>
  <c r="K293" i="15" s="1"/>
  <c r="I294" i="15"/>
  <c r="K294" i="15" s="1"/>
  <c r="J297" i="15"/>
  <c r="L299" i="15"/>
  <c r="M299" i="15"/>
  <c r="N299" i="15"/>
  <c r="O299" i="15"/>
  <c r="P299" i="15"/>
  <c r="O302" i="15"/>
  <c r="P302" i="15"/>
  <c r="L303" i="15"/>
  <c r="M303" i="15"/>
  <c r="N303" i="15"/>
  <c r="N301" i="15" s="1"/>
  <c r="O305" i="15"/>
  <c r="P305" i="15"/>
  <c r="L306" i="15"/>
  <c r="L304" i="15" s="1"/>
  <c r="O304" i="15" s="1"/>
  <c r="M306" i="15"/>
  <c r="P306" i="15" s="1"/>
  <c r="N306" i="15"/>
  <c r="N304" i="15" s="1"/>
  <c r="I309" i="15"/>
  <c r="K309" i="15" s="1"/>
  <c r="I310" i="15"/>
  <c r="K310" i="15" s="1"/>
  <c r="I311" i="15"/>
  <c r="K311" i="15" s="1"/>
  <c r="I312" i="15"/>
  <c r="K312" i="15" s="1"/>
  <c r="J314" i="15"/>
  <c r="L316" i="15"/>
  <c r="M316" i="15"/>
  <c r="N316" i="15"/>
  <c r="O319" i="15"/>
  <c r="P319" i="15"/>
  <c r="L320" i="15"/>
  <c r="L318" i="15" s="1"/>
  <c r="M320" i="15"/>
  <c r="M318" i="15" s="1"/>
  <c r="N320" i="15"/>
  <c r="O322" i="15"/>
  <c r="P322" i="15"/>
  <c r="L323" i="15"/>
  <c r="L321" i="15" s="1"/>
  <c r="O321" i="15" s="1"/>
  <c r="M323" i="15"/>
  <c r="P323" i="15" s="1"/>
  <c r="N323" i="15"/>
  <c r="N321" i="15" s="1"/>
  <c r="I325" i="15"/>
  <c r="I314" i="15" s="1"/>
  <c r="K314" i="15" s="1"/>
  <c r="I327" i="15"/>
  <c r="L329" i="15"/>
  <c r="O329" i="15" s="1"/>
  <c r="M329" i="15"/>
  <c r="N329" i="15"/>
  <c r="P329" i="15"/>
  <c r="O332" i="15"/>
  <c r="P332" i="15"/>
  <c r="L333" i="15"/>
  <c r="L331" i="15" s="1"/>
  <c r="M333" i="15"/>
  <c r="N333" i="15"/>
  <c r="O335" i="15"/>
  <c r="P335" i="15"/>
  <c r="L336" i="15"/>
  <c r="O336" i="15" s="1"/>
  <c r="M336" i="15"/>
  <c r="P336" i="15" s="1"/>
  <c r="N336" i="15"/>
  <c r="N334" i="15" s="1"/>
  <c r="D337" i="15"/>
  <c r="I338" i="15"/>
  <c r="J338" i="15"/>
  <c r="I340" i="15"/>
  <c r="J340" i="15"/>
  <c r="J341" i="15"/>
  <c r="J342" i="15"/>
  <c r="J343" i="15"/>
  <c r="L346" i="15"/>
  <c r="M346" i="15"/>
  <c r="N346" i="15"/>
  <c r="P346" i="15"/>
  <c r="O349" i="15"/>
  <c r="P349" i="15"/>
  <c r="L350" i="15"/>
  <c r="M350" i="15"/>
  <c r="N350" i="15"/>
  <c r="N348" i="15" s="1"/>
  <c r="O352" i="15"/>
  <c r="P352" i="15"/>
  <c r="L353" i="15"/>
  <c r="L351" i="15" s="1"/>
  <c r="M353" i="15"/>
  <c r="M351" i="15" s="1"/>
  <c r="N353" i="15"/>
  <c r="N351" i="15" s="1"/>
  <c r="I355" i="15"/>
  <c r="J358" i="15"/>
  <c r="K358" i="15"/>
  <c r="I359" i="15"/>
  <c r="J359" i="15"/>
  <c r="I360" i="15"/>
  <c r="J360" i="15"/>
  <c r="J361" i="15"/>
  <c r="K361" i="15"/>
  <c r="I362" i="15"/>
  <c r="J362" i="15"/>
  <c r="J355" i="15" s="1"/>
  <c r="J363" i="15"/>
  <c r="K363" i="15"/>
  <c r="I365" i="15"/>
  <c r="J368" i="15"/>
  <c r="K368" i="15"/>
  <c r="I369" i="15"/>
  <c r="J369" i="15"/>
  <c r="I370" i="15"/>
  <c r="J370" i="15"/>
  <c r="J371" i="15"/>
  <c r="K371" i="15"/>
  <c r="I372" i="15"/>
  <c r="J372" i="15"/>
  <c r="J365" i="15" s="1"/>
  <c r="A373" i="15"/>
  <c r="J373" i="15"/>
  <c r="K373" i="15"/>
  <c r="I374" i="15"/>
  <c r="J377" i="15"/>
  <c r="K377" i="15"/>
  <c r="I378" i="15"/>
  <c r="J378" i="15"/>
  <c r="I379" i="15"/>
  <c r="J379" i="15"/>
  <c r="J380" i="15"/>
  <c r="K380" i="15"/>
  <c r="I381" i="15"/>
  <c r="J381" i="15"/>
  <c r="A382" i="15"/>
  <c r="J382" i="15"/>
  <c r="K382" i="15"/>
  <c r="D384" i="15"/>
  <c r="I385" i="15"/>
  <c r="J385" i="15"/>
  <c r="I388" i="15"/>
  <c r="J388" i="15"/>
  <c r="K388" i="15"/>
  <c r="L390" i="15"/>
  <c r="O390" i="15" s="1"/>
  <c r="M390" i="15"/>
  <c r="P390" i="15" s="1"/>
  <c r="N390" i="15"/>
  <c r="O393" i="15"/>
  <c r="P393" i="15"/>
  <c r="L394" i="15"/>
  <c r="L392" i="15" s="1"/>
  <c r="O392" i="15" s="1"/>
  <c r="M394" i="15"/>
  <c r="M392" i="15" s="1"/>
  <c r="P392" i="15" s="1"/>
  <c r="N394" i="15"/>
  <c r="N392" i="15" s="1"/>
  <c r="O396" i="15"/>
  <c r="P396" i="15"/>
  <c r="L397" i="15"/>
  <c r="L395" i="15" s="1"/>
  <c r="O395" i="15" s="1"/>
  <c r="M397" i="15"/>
  <c r="P397" i="15" s="1"/>
  <c r="N397" i="15"/>
  <c r="N395" i="15" s="1"/>
  <c r="K399" i="15"/>
  <c r="K400" i="15"/>
  <c r="I401" i="15"/>
  <c r="J401" i="15"/>
  <c r="K401" i="15"/>
  <c r="L403" i="15"/>
  <c r="M403" i="15"/>
  <c r="N403" i="15"/>
  <c r="O403" i="15"/>
  <c r="O406" i="15"/>
  <c r="P406" i="15"/>
  <c r="L407" i="15"/>
  <c r="O407" i="15" s="1"/>
  <c r="M407" i="15"/>
  <c r="M405" i="15" s="1"/>
  <c r="P405" i="15" s="1"/>
  <c r="N407" i="15"/>
  <c r="N405" i="15" s="1"/>
  <c r="O409" i="15"/>
  <c r="P409" i="15"/>
  <c r="L410" i="15"/>
  <c r="O410" i="15" s="1"/>
  <c r="M410" i="15"/>
  <c r="M408" i="15" s="1"/>
  <c r="P408" i="15" s="1"/>
  <c r="N410" i="15"/>
  <c r="N408" i="15" s="1"/>
  <c r="K412" i="15"/>
  <c r="K413" i="15"/>
  <c r="J418" i="15"/>
  <c r="L420" i="15"/>
  <c r="M420" i="15"/>
  <c r="P420" i="15" s="1"/>
  <c r="N420" i="15"/>
  <c r="O423" i="15"/>
  <c r="P423" i="15"/>
  <c r="L424" i="15"/>
  <c r="N425" i="15"/>
  <c r="N428" i="15"/>
  <c r="N424" i="15" s="1"/>
  <c r="M429" i="15"/>
  <c r="P429" i="15" s="1"/>
  <c r="N429" i="15"/>
  <c r="O430" i="15"/>
  <c r="P430" i="15"/>
  <c r="L431" i="15"/>
  <c r="O431" i="15" s="1"/>
  <c r="P431" i="15"/>
  <c r="J434" i="15"/>
  <c r="I435" i="15"/>
  <c r="I433" i="15" s="1"/>
  <c r="I417" i="15" s="1"/>
  <c r="I437" i="15"/>
  <c r="I438" i="15"/>
  <c r="K438" i="15" s="1"/>
  <c r="I439" i="15"/>
  <c r="K439" i="15" s="1"/>
  <c r="I440" i="15"/>
  <c r="I441" i="15"/>
  <c r="K441" i="15" s="1"/>
  <c r="J442" i="15"/>
  <c r="J443" i="15"/>
  <c r="L445" i="15"/>
  <c r="M445" i="15"/>
  <c r="N445" i="15"/>
  <c r="P445" i="15"/>
  <c r="O448" i="15"/>
  <c r="P448" i="15"/>
  <c r="L449" i="15"/>
  <c r="M449" i="15" s="1"/>
  <c r="M447" i="15" s="1"/>
  <c r="N450" i="15"/>
  <c r="N452" i="15"/>
  <c r="N453" i="15"/>
  <c r="M454" i="15"/>
  <c r="P454" i="15" s="1"/>
  <c r="N454" i="15"/>
  <c r="O455" i="15"/>
  <c r="P455" i="15"/>
  <c r="L456" i="15"/>
  <c r="L454" i="15" s="1"/>
  <c r="O454" i="15" s="1"/>
  <c r="P456" i="15"/>
  <c r="K458" i="15"/>
  <c r="I460" i="15"/>
  <c r="I462" i="15"/>
  <c r="K462" i="15" s="1"/>
  <c r="I463" i="15"/>
  <c r="I464" i="15"/>
  <c r="I465" i="15"/>
  <c r="K465" i="15" s="1"/>
  <c r="J465" i="15"/>
  <c r="I466" i="15"/>
  <c r="J466" i="15"/>
  <c r="L468" i="15"/>
  <c r="M468" i="15"/>
  <c r="N468" i="15"/>
  <c r="P468" i="15"/>
  <c r="N469" i="15"/>
  <c r="N467" i="15" s="1"/>
  <c r="O471" i="15"/>
  <c r="P471" i="15"/>
  <c r="L472" i="15"/>
  <c r="L470" i="15" s="1"/>
  <c r="O470" i="15" s="1"/>
  <c r="N476" i="15"/>
  <c r="N472" i="15" s="1"/>
  <c r="N470" i="15" s="1"/>
  <c r="M477" i="15"/>
  <c r="P477" i="15" s="1"/>
  <c r="N477" i="15"/>
  <c r="O478" i="15"/>
  <c r="P478" i="15"/>
  <c r="L479" i="15"/>
  <c r="L477" i="15" s="1"/>
  <c r="O477" i="15" s="1"/>
  <c r="P479" i="15"/>
  <c r="I483" i="15"/>
  <c r="K483" i="15" s="1"/>
  <c r="I485" i="15"/>
  <c r="K485" i="15" s="1"/>
  <c r="I487" i="15"/>
  <c r="K487" i="15" s="1"/>
  <c r="I489" i="15"/>
  <c r="K489" i="15" s="1"/>
  <c r="I492" i="15"/>
  <c r="K492" i="15" s="1"/>
  <c r="I495" i="15"/>
  <c r="K495" i="15" s="1"/>
  <c r="I498" i="15"/>
  <c r="K498" i="15" s="1"/>
  <c r="J500" i="15"/>
  <c r="K500" i="15"/>
  <c r="J501" i="15"/>
  <c r="K501" i="15"/>
  <c r="M502" i="15"/>
  <c r="P502" i="15" s="1"/>
  <c r="L503" i="15"/>
  <c r="M503" i="15"/>
  <c r="P503" i="15" s="1"/>
  <c r="N503" i="15"/>
  <c r="O503" i="15"/>
  <c r="L504" i="15"/>
  <c r="L502" i="15" s="1"/>
  <c r="O502" i="15" s="1"/>
  <c r="M504" i="15"/>
  <c r="P504" i="15"/>
  <c r="L505" i="15"/>
  <c r="O505" i="15" s="1"/>
  <c r="M505" i="15"/>
  <c r="P505" i="15" s="1"/>
  <c r="O506" i="15"/>
  <c r="P506" i="15"/>
  <c r="N507" i="15"/>
  <c r="N505" i="15" s="1"/>
  <c r="O507" i="15"/>
  <c r="P507" i="15"/>
  <c r="L512" i="15"/>
  <c r="M512" i="15"/>
  <c r="P512" i="15" s="1"/>
  <c r="N512" i="15"/>
  <c r="O512" i="15"/>
  <c r="O513" i="15"/>
  <c r="P513" i="15"/>
  <c r="O514" i="15"/>
  <c r="P514" i="15"/>
  <c r="K516" i="15"/>
  <c r="J517" i="15"/>
  <c r="K517" i="15"/>
  <c r="L524" i="15"/>
  <c r="M524" i="15"/>
  <c r="N524" i="15"/>
  <c r="P524" i="15"/>
  <c r="N525" i="15"/>
  <c r="N523" i="15" s="1"/>
  <c r="O527" i="15"/>
  <c r="P527" i="15"/>
  <c r="L528" i="15"/>
  <c r="N530" i="15"/>
  <c r="N528" i="15" s="1"/>
  <c r="N526" i="15" s="1"/>
  <c r="N532" i="15"/>
  <c r="M533" i="15"/>
  <c r="P533" i="15" s="1"/>
  <c r="N533" i="15"/>
  <c r="O534" i="15"/>
  <c r="P534" i="15"/>
  <c r="L535" i="15"/>
  <c r="O535" i="15" s="1"/>
  <c r="P535" i="15"/>
  <c r="I537" i="15"/>
  <c r="I538" i="15"/>
  <c r="I539" i="15"/>
  <c r="K539" i="15" s="1"/>
  <c r="I540" i="15"/>
  <c r="K540" i="15" s="1"/>
  <c r="I541" i="15"/>
  <c r="K541" i="15" s="1"/>
  <c r="I542" i="15"/>
  <c r="K542" i="15" s="1"/>
  <c r="L545" i="15"/>
  <c r="O545" i="15" s="1"/>
  <c r="M545" i="15"/>
  <c r="P545" i="15"/>
  <c r="O548" i="15"/>
  <c r="P548" i="15"/>
  <c r="L549" i="15"/>
  <c r="L547" i="15" s="1"/>
  <c r="N552" i="15"/>
  <c r="N553" i="15"/>
  <c r="N554" i="15"/>
  <c r="N549" i="15" s="1"/>
  <c r="M555" i="15"/>
  <c r="N555" i="15"/>
  <c r="N545" i="15" s="1"/>
  <c r="P555" i="15"/>
  <c r="O556" i="15"/>
  <c r="P556" i="15"/>
  <c r="L557" i="15"/>
  <c r="L555" i="15" s="1"/>
  <c r="O555" i="15" s="1"/>
  <c r="P557" i="15"/>
  <c r="J559" i="15"/>
  <c r="J543" i="15" s="1"/>
  <c r="I560" i="15"/>
  <c r="K560" i="15" s="1"/>
  <c r="J560" i="15"/>
  <c r="I561" i="15"/>
  <c r="J561" i="15"/>
  <c r="I568" i="15"/>
  <c r="K568" i="15" s="1"/>
  <c r="J568" i="15"/>
  <c r="I569" i="15"/>
  <c r="J569" i="15"/>
  <c r="I576" i="15"/>
  <c r="I559" i="15" s="1"/>
  <c r="I543" i="15" s="1"/>
  <c r="J576" i="15"/>
  <c r="I577" i="15"/>
  <c r="J577" i="15"/>
  <c r="J582" i="15"/>
  <c r="J583" i="15"/>
  <c r="I593" i="15"/>
  <c r="I594" i="15"/>
  <c r="K594" i="15" s="1"/>
  <c r="J595" i="15"/>
  <c r="J596" i="15"/>
  <c r="J603" i="15"/>
  <c r="J604" i="15"/>
  <c r="J594" i="15" s="1"/>
  <c r="J611" i="15"/>
  <c r="K611" i="15"/>
  <c r="J612" i="15"/>
  <c r="K612" i="15"/>
  <c r="J613" i="15"/>
  <c r="K613" i="15"/>
  <c r="I620" i="15"/>
  <c r="K620" i="15" s="1"/>
  <c r="J620" i="15"/>
  <c r="I621" i="15"/>
  <c r="K621" i="15" s="1"/>
  <c r="J621" i="15"/>
  <c r="N629" i="15"/>
  <c r="L630" i="15"/>
  <c r="O630" i="15" s="1"/>
  <c r="M630" i="15"/>
  <c r="N630" i="15"/>
  <c r="P630" i="15"/>
  <c r="M631" i="15"/>
  <c r="M629" i="15" s="1"/>
  <c r="P629" i="15" s="1"/>
  <c r="P631" i="15"/>
  <c r="M632" i="15"/>
  <c r="N632" i="15"/>
  <c r="P632" i="15"/>
  <c r="O633" i="15"/>
  <c r="P633" i="15"/>
  <c r="L634" i="15"/>
  <c r="N634" i="15"/>
  <c r="N631" i="15" s="1"/>
  <c r="P634" i="15"/>
  <c r="M639" i="15"/>
  <c r="P639" i="15" s="1"/>
  <c r="N639" i="15"/>
  <c r="O640" i="15"/>
  <c r="P640" i="15"/>
  <c r="L641" i="15"/>
  <c r="L639" i="15" s="1"/>
  <c r="O639" i="15" s="1"/>
  <c r="P641" i="15"/>
  <c r="I643" i="15"/>
  <c r="K643" i="15" s="1"/>
  <c r="I644" i="15"/>
  <c r="K644" i="15" s="1"/>
  <c r="J645" i="15"/>
  <c r="K645" i="15"/>
  <c r="J646" i="15"/>
  <c r="K646" i="15"/>
  <c r="I647" i="15"/>
  <c r="K647" i="15" s="1"/>
  <c r="J647" i="15"/>
  <c r="J648" i="15"/>
  <c r="K648" i="15"/>
  <c r="I649" i="15"/>
  <c r="K649" i="15" s="1"/>
  <c r="J649" i="15"/>
  <c r="J650" i="15"/>
  <c r="K650" i="15"/>
  <c r="I651" i="15"/>
  <c r="K651" i="15" s="1"/>
  <c r="J651" i="15"/>
  <c r="J628" i="15" s="1"/>
  <c r="J652" i="15"/>
  <c r="K652" i="15"/>
  <c r="L656" i="15"/>
  <c r="M656" i="15"/>
  <c r="M655" i="15" s="1"/>
  <c r="P655" i="15" s="1"/>
  <c r="N656" i="15"/>
  <c r="P656" i="15"/>
  <c r="M657" i="15"/>
  <c r="N657" i="15"/>
  <c r="N655" i="15" s="1"/>
  <c r="P657" i="15"/>
  <c r="M658" i="15"/>
  <c r="P658" i="15"/>
  <c r="O659" i="15"/>
  <c r="P659" i="15"/>
  <c r="L660" i="15"/>
  <c r="L657" i="15" s="1"/>
  <c r="O657" i="15" s="1"/>
  <c r="N660" i="15"/>
  <c r="N658" i="15" s="1"/>
  <c r="P660" i="15"/>
  <c r="L665" i="15"/>
  <c r="M665" i="15"/>
  <c r="P665" i="15" s="1"/>
  <c r="N665" i="15"/>
  <c r="O665" i="15"/>
  <c r="O666" i="15"/>
  <c r="P666" i="15"/>
  <c r="O667" i="15"/>
  <c r="P667" i="15"/>
  <c r="I669" i="15"/>
  <c r="K674" i="15" s="1"/>
  <c r="I670" i="15"/>
  <c r="K670" i="15" s="1"/>
  <c r="I671" i="15"/>
  <c r="K671" i="15" s="1"/>
  <c r="J675" i="15"/>
  <c r="J669" i="15" s="1"/>
  <c r="J654" i="15" s="1"/>
  <c r="I678" i="15"/>
  <c r="K678" i="15" s="1"/>
  <c r="J679" i="15"/>
  <c r="J678" i="15" s="1"/>
  <c r="L686" i="15"/>
  <c r="M686" i="15"/>
  <c r="P686" i="15" s="1"/>
  <c r="N686" i="15"/>
  <c r="O686" i="15"/>
  <c r="M687" i="15"/>
  <c r="P687" i="15" s="1"/>
  <c r="M688" i="15"/>
  <c r="P688" i="15" s="1"/>
  <c r="L690" i="15"/>
  <c r="L688" i="15" s="1"/>
  <c r="O688" i="15" s="1"/>
  <c r="N690" i="15"/>
  <c r="N687" i="15" s="1"/>
  <c r="N685" i="15" s="1"/>
  <c r="P690" i="15"/>
  <c r="L695" i="15"/>
  <c r="O695" i="15" s="1"/>
  <c r="M695" i="15"/>
  <c r="N695" i="15"/>
  <c r="P695" i="15"/>
  <c r="O696" i="15"/>
  <c r="P696" i="15"/>
  <c r="O697" i="15"/>
  <c r="P697" i="15"/>
  <c r="I699" i="15"/>
  <c r="K699" i="15" s="1"/>
  <c r="J699" i="15"/>
  <c r="I700" i="15"/>
  <c r="K700" i="15" s="1"/>
  <c r="J700" i="15"/>
  <c r="I701" i="15"/>
  <c r="K701" i="15" s="1"/>
  <c r="J701" i="15"/>
  <c r="I704" i="15"/>
  <c r="I707" i="15"/>
  <c r="I708" i="15"/>
  <c r="K708" i="15" s="1"/>
  <c r="J708" i="15"/>
  <c r="J718" i="15"/>
  <c r="J719" i="15"/>
  <c r="I720" i="15"/>
  <c r="K720" i="15" s="1"/>
  <c r="J720" i="15"/>
  <c r="I721" i="15"/>
  <c r="K721" i="15" s="1"/>
  <c r="I722" i="15"/>
  <c r="K722" i="15" s="1"/>
  <c r="I723" i="15"/>
  <c r="K723" i="15" s="1"/>
  <c r="J723" i="15"/>
  <c r="J724" i="15"/>
  <c r="I725" i="15"/>
  <c r="K725" i="15" s="1"/>
  <c r="J725" i="15"/>
  <c r="I726" i="15"/>
  <c r="K726" i="15" s="1"/>
  <c r="J726" i="15"/>
  <c r="J727" i="15"/>
  <c r="I728" i="15"/>
  <c r="K728" i="15" s="1"/>
  <c r="J728" i="15"/>
  <c r="I729" i="15"/>
  <c r="K729" i="15" s="1"/>
  <c r="J729" i="15"/>
  <c r="J736" i="15"/>
  <c r="K736" i="15"/>
  <c r="L737" i="15"/>
  <c r="O737" i="15" s="1"/>
  <c r="M737" i="15"/>
  <c r="P737" i="15" s="1"/>
  <c r="L738" i="15"/>
  <c r="O738" i="15" s="1"/>
  <c r="M738" i="15"/>
  <c r="N738" i="15"/>
  <c r="P738" i="15"/>
  <c r="L739" i="15"/>
  <c r="O739" i="15" s="1"/>
  <c r="M739" i="15"/>
  <c r="P739" i="15" s="1"/>
  <c r="L740" i="15"/>
  <c r="O740" i="15" s="1"/>
  <c r="M740" i="15"/>
  <c r="P740" i="15" s="1"/>
  <c r="O741" i="15"/>
  <c r="P741" i="15"/>
  <c r="N742" i="15"/>
  <c r="N740" i="15" s="1"/>
  <c r="O742" i="15"/>
  <c r="P742" i="15"/>
  <c r="L747" i="15"/>
  <c r="M747" i="15"/>
  <c r="N747" i="15"/>
  <c r="O747" i="15"/>
  <c r="P747" i="15"/>
  <c r="O748" i="15"/>
  <c r="P748" i="15"/>
  <c r="O749" i="15"/>
  <c r="P749" i="15"/>
  <c r="J753" i="15"/>
  <c r="K753" i="15"/>
  <c r="L755" i="15"/>
  <c r="O755" i="15" s="1"/>
  <c r="M755" i="15"/>
  <c r="M754" i="15" s="1"/>
  <c r="P754" i="15" s="1"/>
  <c r="N755" i="15"/>
  <c r="L756" i="15"/>
  <c r="M756" i="15"/>
  <c r="P756" i="15" s="1"/>
  <c r="N756" i="15"/>
  <c r="O756" i="15"/>
  <c r="L757" i="15"/>
  <c r="O757" i="15" s="1"/>
  <c r="M757" i="15"/>
  <c r="N757" i="15"/>
  <c r="P757" i="15"/>
  <c r="O758" i="15"/>
  <c r="P758" i="15"/>
  <c r="N759" i="15"/>
  <c r="O759" i="15"/>
  <c r="P759" i="15"/>
  <c r="L764" i="15"/>
  <c r="O764" i="15" s="1"/>
  <c r="M764" i="15"/>
  <c r="N764" i="15"/>
  <c r="P764" i="15"/>
  <c r="O765" i="15"/>
  <c r="P765" i="15"/>
  <c r="O766" i="15"/>
  <c r="P766" i="15"/>
  <c r="J769" i="15"/>
  <c r="K769" i="15"/>
  <c r="M770" i="15"/>
  <c r="P770" i="15" s="1"/>
  <c r="L771" i="15"/>
  <c r="O771" i="15" s="1"/>
  <c r="M771" i="15"/>
  <c r="N771" i="15"/>
  <c r="P771" i="15"/>
  <c r="L772" i="15"/>
  <c r="O772" i="15" s="1"/>
  <c r="M772" i="15"/>
  <c r="P772" i="15" s="1"/>
  <c r="L773" i="15"/>
  <c r="M773" i="15"/>
  <c r="P773" i="15" s="1"/>
  <c r="O773" i="15"/>
  <c r="O774" i="15"/>
  <c r="P774" i="15"/>
  <c r="N775" i="15"/>
  <c r="N773" i="15" s="1"/>
  <c r="O775" i="15"/>
  <c r="P775" i="15"/>
  <c r="L780" i="15"/>
  <c r="M780" i="15"/>
  <c r="N780" i="15"/>
  <c r="O780" i="15"/>
  <c r="P780" i="15"/>
  <c r="O781" i="15"/>
  <c r="P781" i="15"/>
  <c r="O782" i="15"/>
  <c r="P782" i="15"/>
  <c r="N786" i="15"/>
  <c r="L787" i="15"/>
  <c r="M787" i="15"/>
  <c r="P787" i="15" s="1"/>
  <c r="N787" i="15"/>
  <c r="M788" i="15"/>
  <c r="P788" i="15" s="1"/>
  <c r="N788" i="15"/>
  <c r="M789" i="15"/>
  <c r="P789" i="15" s="1"/>
  <c r="N789" i="15"/>
  <c r="O790" i="15"/>
  <c r="P790" i="15"/>
  <c r="L791" i="15"/>
  <c r="L789" i="15" s="1"/>
  <c r="O789" i="15" s="1"/>
  <c r="N791" i="15"/>
  <c r="P791" i="15"/>
  <c r="L796" i="15"/>
  <c r="O796" i="15" s="1"/>
  <c r="M796" i="15"/>
  <c r="N796" i="15"/>
  <c r="P796" i="15"/>
  <c r="O797" i="15"/>
  <c r="P797" i="15"/>
  <c r="O798" i="15"/>
  <c r="P798" i="15"/>
  <c r="I800" i="15"/>
  <c r="K800" i="15" s="1"/>
  <c r="J800" i="15"/>
  <c r="J785" i="15" s="1"/>
  <c r="J801" i="15"/>
  <c r="K802" i="15"/>
  <c r="J804" i="15"/>
  <c r="K804" i="15"/>
  <c r="N805" i="15"/>
  <c r="L806" i="15"/>
  <c r="L805" i="15" s="1"/>
  <c r="O805" i="15" s="1"/>
  <c r="M806" i="15"/>
  <c r="M805" i="15" s="1"/>
  <c r="P805" i="15" s="1"/>
  <c r="N806" i="15"/>
  <c r="O806" i="15"/>
  <c r="P806" i="15"/>
  <c r="L807" i="15"/>
  <c r="O807" i="15" s="1"/>
  <c r="M807" i="15"/>
  <c r="N807" i="15"/>
  <c r="P807" i="15"/>
  <c r="L808" i="15"/>
  <c r="O808" i="15" s="1"/>
  <c r="M808" i="15"/>
  <c r="P808" i="15" s="1"/>
  <c r="O809" i="15"/>
  <c r="P809" i="15"/>
  <c r="N810" i="15"/>
  <c r="N808" i="15" s="1"/>
  <c r="O810" i="15"/>
  <c r="P810" i="15"/>
  <c r="L815" i="15"/>
  <c r="M815" i="15"/>
  <c r="P815" i="15" s="1"/>
  <c r="N815" i="15"/>
  <c r="O815" i="15"/>
  <c r="O816" i="15"/>
  <c r="P816" i="15"/>
  <c r="O817" i="15"/>
  <c r="P817" i="15"/>
  <c r="H820" i="15"/>
  <c r="I821" i="15"/>
  <c r="J821" i="15"/>
  <c r="I822" i="15"/>
  <c r="J822" i="15"/>
  <c r="I823" i="15"/>
  <c r="J823" i="15"/>
  <c r="I824" i="15"/>
  <c r="J824" i="15"/>
  <c r="I825" i="15"/>
  <c r="J825" i="15"/>
  <c r="I826" i="15"/>
  <c r="J826" i="15"/>
  <c r="I827" i="15"/>
  <c r="J827" i="15"/>
  <c r="I828" i="15"/>
  <c r="J828" i="15"/>
  <c r="L22" i="14"/>
  <c r="M22" i="14"/>
  <c r="P22" i="14" s="1"/>
  <c r="N22" i="14"/>
  <c r="L25" i="14"/>
  <c r="M25" i="14"/>
  <c r="N25" i="14"/>
  <c r="O25" i="14"/>
  <c r="L32" i="14"/>
  <c r="M32" i="14"/>
  <c r="N32" i="14"/>
  <c r="L35" i="14"/>
  <c r="M35" i="14"/>
  <c r="P35" i="14" s="1"/>
  <c r="N35" i="14"/>
  <c r="N15" i="14" s="1"/>
  <c r="M36" i="14"/>
  <c r="P36" i="14" s="1"/>
  <c r="N36" i="14"/>
  <c r="L42" i="14"/>
  <c r="O42" i="14" s="1"/>
  <c r="M42" i="14"/>
  <c r="N42" i="14"/>
  <c r="P42" i="14"/>
  <c r="O45" i="14"/>
  <c r="P45" i="14"/>
  <c r="L46" i="14"/>
  <c r="L44" i="14" s="1"/>
  <c r="M46" i="14"/>
  <c r="N46" i="14"/>
  <c r="O48" i="14"/>
  <c r="P48" i="14"/>
  <c r="L49" i="14"/>
  <c r="L47" i="14" s="1"/>
  <c r="O47" i="14" s="1"/>
  <c r="M49" i="14"/>
  <c r="N49" i="14"/>
  <c r="N47" i="14" s="1"/>
  <c r="L54" i="14"/>
  <c r="M54" i="14"/>
  <c r="N54" i="14"/>
  <c r="O54" i="14"/>
  <c r="O57" i="14"/>
  <c r="P57" i="14"/>
  <c r="L58" i="14"/>
  <c r="L56" i="14" s="1"/>
  <c r="M58" i="14"/>
  <c r="M56" i="14" s="1"/>
  <c r="N58" i="14"/>
  <c r="O60" i="14"/>
  <c r="P60" i="14"/>
  <c r="L61" i="14"/>
  <c r="O61" i="14" s="1"/>
  <c r="M61" i="14"/>
  <c r="M59" i="14" s="1"/>
  <c r="N61" i="14"/>
  <c r="N59" i="14" s="1"/>
  <c r="L67" i="14"/>
  <c r="M67" i="14"/>
  <c r="N67" i="14"/>
  <c r="P67" i="14"/>
  <c r="O70" i="14"/>
  <c r="P70" i="14"/>
  <c r="L71" i="14"/>
  <c r="L69" i="14" s="1"/>
  <c r="O69" i="14" s="1"/>
  <c r="M71" i="14"/>
  <c r="N71" i="14"/>
  <c r="N69" i="14" s="1"/>
  <c r="O73" i="14"/>
  <c r="P73" i="14"/>
  <c r="L74" i="14"/>
  <c r="M74" i="14"/>
  <c r="N74" i="14"/>
  <c r="N72" i="14" s="1"/>
  <c r="J76" i="14"/>
  <c r="J64" i="14" s="1"/>
  <c r="J77" i="14"/>
  <c r="J65" i="14" s="1"/>
  <c r="I78" i="14"/>
  <c r="K78" i="14" s="1"/>
  <c r="I79" i="14"/>
  <c r="K79" i="14" s="1"/>
  <c r="I80" i="14"/>
  <c r="I81" i="14"/>
  <c r="K81" i="14" s="1"/>
  <c r="I82" i="14"/>
  <c r="K82" i="14" s="1"/>
  <c r="I83" i="14"/>
  <c r="K83" i="14" s="1"/>
  <c r="I84" i="14"/>
  <c r="K84" i="14" s="1"/>
  <c r="L89" i="14"/>
  <c r="M89" i="14"/>
  <c r="N89" i="14"/>
  <c r="O92" i="14"/>
  <c r="P92" i="14"/>
  <c r="L93" i="14"/>
  <c r="L91" i="14" s="1"/>
  <c r="M93" i="14"/>
  <c r="M91" i="14" s="1"/>
  <c r="N93" i="14"/>
  <c r="O95" i="14"/>
  <c r="P95" i="14"/>
  <c r="L96" i="14"/>
  <c r="L94" i="14" s="1"/>
  <c r="O94" i="14" s="1"/>
  <c r="M96" i="14"/>
  <c r="N96" i="14"/>
  <c r="N94" i="14" s="1"/>
  <c r="I98" i="14"/>
  <c r="I86" i="14" s="1"/>
  <c r="K86" i="14" s="1"/>
  <c r="J98" i="14"/>
  <c r="J86" i="14" s="1"/>
  <c r="I99" i="14"/>
  <c r="I87" i="14" s="1"/>
  <c r="K87" i="14" s="1"/>
  <c r="J99" i="14"/>
  <c r="J87" i="14" s="1"/>
  <c r="I100" i="14"/>
  <c r="J100" i="14"/>
  <c r="I102" i="14"/>
  <c r="K102" i="14" s="1"/>
  <c r="I103" i="14"/>
  <c r="K103" i="14" s="1"/>
  <c r="I104" i="14"/>
  <c r="K104" i="14" s="1"/>
  <c r="I106" i="14"/>
  <c r="K106" i="14" s="1"/>
  <c r="I107" i="14"/>
  <c r="K107" i="14" s="1"/>
  <c r="I109" i="14"/>
  <c r="K109" i="14" s="1"/>
  <c r="I110" i="14"/>
  <c r="K110" i="14" s="1"/>
  <c r="I111" i="14"/>
  <c r="K111" i="14" s="1"/>
  <c r="J111" i="14"/>
  <c r="J112" i="14"/>
  <c r="I113" i="14"/>
  <c r="K113" i="14" s="1"/>
  <c r="I114" i="14"/>
  <c r="K114" i="14" s="1"/>
  <c r="I115" i="14"/>
  <c r="I116" i="14"/>
  <c r="K116" i="14" s="1"/>
  <c r="L120" i="14"/>
  <c r="O120" i="14" s="1"/>
  <c r="M120" i="14"/>
  <c r="P120" i="14" s="1"/>
  <c r="N120" i="14"/>
  <c r="O123" i="14"/>
  <c r="P123" i="14"/>
  <c r="L124" i="14"/>
  <c r="L122" i="14" s="1"/>
  <c r="O122" i="14" s="1"/>
  <c r="M124" i="14"/>
  <c r="M122" i="14" s="1"/>
  <c r="P122" i="14" s="1"/>
  <c r="N124" i="14"/>
  <c r="N122" i="14" s="1"/>
  <c r="O126" i="14"/>
  <c r="P126" i="14"/>
  <c r="L127" i="14"/>
  <c r="O127" i="14" s="1"/>
  <c r="M127" i="14"/>
  <c r="M125" i="14" s="1"/>
  <c r="P125" i="14" s="1"/>
  <c r="N127" i="14"/>
  <c r="N125" i="14" s="1"/>
  <c r="J130" i="14"/>
  <c r="L133" i="14"/>
  <c r="M133" i="14"/>
  <c r="P133" i="14" s="1"/>
  <c r="N133" i="14"/>
  <c r="O136" i="14"/>
  <c r="P136" i="14"/>
  <c r="L137" i="14"/>
  <c r="M137" i="14"/>
  <c r="P137" i="14" s="1"/>
  <c r="N137" i="14"/>
  <c r="N135" i="14" s="1"/>
  <c r="O139" i="14"/>
  <c r="P139" i="14"/>
  <c r="L140" i="14"/>
  <c r="L138" i="14" s="1"/>
  <c r="O138" i="14" s="1"/>
  <c r="M140" i="14"/>
  <c r="N140" i="14"/>
  <c r="I144" i="14"/>
  <c r="I145" i="14"/>
  <c r="I143" i="14" s="1"/>
  <c r="K143" i="14" s="1"/>
  <c r="I146" i="14"/>
  <c r="K146" i="14" s="1"/>
  <c r="J148" i="14"/>
  <c r="L150" i="14"/>
  <c r="M150" i="14"/>
  <c r="P150" i="14" s="1"/>
  <c r="N150" i="14"/>
  <c r="O150" i="14"/>
  <c r="O153" i="14"/>
  <c r="P153" i="14"/>
  <c r="L154" i="14"/>
  <c r="L152" i="14" s="1"/>
  <c r="O152" i="14" s="1"/>
  <c r="M154" i="14"/>
  <c r="M152" i="14" s="1"/>
  <c r="N154" i="14"/>
  <c r="N152" i="14" s="1"/>
  <c r="O156" i="14"/>
  <c r="P156" i="14"/>
  <c r="L157" i="14"/>
  <c r="L155" i="14" s="1"/>
  <c r="O155" i="14" s="1"/>
  <c r="M157" i="14"/>
  <c r="M155" i="14" s="1"/>
  <c r="P155" i="14" s="1"/>
  <c r="N157" i="14"/>
  <c r="N155" i="14" s="1"/>
  <c r="I159" i="14"/>
  <c r="I148" i="14" s="1"/>
  <c r="K148" i="14" s="1"/>
  <c r="L166" i="14"/>
  <c r="O166" i="14" s="1"/>
  <c r="M166" i="14"/>
  <c r="P166" i="14" s="1"/>
  <c r="N166" i="14"/>
  <c r="O169" i="14"/>
  <c r="P169" i="14"/>
  <c r="L170" i="14"/>
  <c r="M170" i="14"/>
  <c r="M168" i="14" s="1"/>
  <c r="N170" i="14"/>
  <c r="N168" i="14" s="1"/>
  <c r="O172" i="14"/>
  <c r="P172" i="14"/>
  <c r="L173" i="14"/>
  <c r="L171" i="14" s="1"/>
  <c r="O171" i="14" s="1"/>
  <c r="M173" i="14"/>
  <c r="P173" i="14" s="1"/>
  <c r="N173" i="14"/>
  <c r="N171" i="14" s="1"/>
  <c r="J174" i="14"/>
  <c r="I176" i="14"/>
  <c r="I174" i="14" s="1"/>
  <c r="I164" i="14" s="1"/>
  <c r="J177" i="14"/>
  <c r="L182" i="14"/>
  <c r="O182" i="14" s="1"/>
  <c r="M182" i="14"/>
  <c r="P182" i="14" s="1"/>
  <c r="N182" i="14"/>
  <c r="O185" i="14"/>
  <c r="P185" i="14"/>
  <c r="L186" i="14"/>
  <c r="M186" i="14"/>
  <c r="M184" i="14" s="1"/>
  <c r="N186" i="14"/>
  <c r="O188" i="14"/>
  <c r="P188" i="14"/>
  <c r="L189" i="14"/>
  <c r="M189" i="14"/>
  <c r="P189" i="14" s="1"/>
  <c r="N189" i="14"/>
  <c r="N187" i="14" s="1"/>
  <c r="J190" i="14"/>
  <c r="L191" i="14"/>
  <c r="O191" i="14" s="1"/>
  <c r="P191" i="14"/>
  <c r="I193" i="14"/>
  <c r="I190" i="14" s="1"/>
  <c r="K190" i="14" s="1"/>
  <c r="J194" i="14"/>
  <c r="J197" i="14"/>
  <c r="N198" i="14"/>
  <c r="P198" i="14"/>
  <c r="L199" i="14"/>
  <c r="L200" i="14"/>
  <c r="L201" i="14"/>
  <c r="L202" i="14"/>
  <c r="I204" i="14"/>
  <c r="K204" i="14" s="1"/>
  <c r="K206" i="14"/>
  <c r="K207" i="14"/>
  <c r="J208" i="14"/>
  <c r="N209" i="14"/>
  <c r="P209" i="14"/>
  <c r="L210" i="14"/>
  <c r="L211" i="14"/>
  <c r="L212" i="14"/>
  <c r="I214" i="14"/>
  <c r="K214" i="14" s="1"/>
  <c r="I215" i="14"/>
  <c r="I208" i="14" s="1"/>
  <c r="K208" i="14" s="1"/>
  <c r="J216" i="14"/>
  <c r="N217" i="14"/>
  <c r="P217" i="14"/>
  <c r="L218" i="14"/>
  <c r="L219" i="14"/>
  <c r="L220" i="14"/>
  <c r="I223" i="14"/>
  <c r="K223" i="14" s="1"/>
  <c r="I224" i="14"/>
  <c r="I216" i="14" s="1"/>
  <c r="K216" i="14" s="1"/>
  <c r="I225" i="14"/>
  <c r="K225" i="14" s="1"/>
  <c r="N228" i="14"/>
  <c r="N229" i="14"/>
  <c r="N230" i="14"/>
  <c r="N231" i="14"/>
  <c r="J233" i="14"/>
  <c r="I235" i="14"/>
  <c r="K235" i="14" s="1"/>
  <c r="J235" i="14"/>
  <c r="I236" i="14"/>
  <c r="K236" i="14" s="1"/>
  <c r="J236" i="14"/>
  <c r="J237" i="14"/>
  <c r="N238" i="14"/>
  <c r="P238" i="14"/>
  <c r="L239" i="14"/>
  <c r="L240" i="14"/>
  <c r="L241" i="14"/>
  <c r="L242" i="14"/>
  <c r="I244" i="14"/>
  <c r="I237" i="14" s="1"/>
  <c r="K246" i="14"/>
  <c r="K247" i="14"/>
  <c r="J248" i="14"/>
  <c r="N249" i="14"/>
  <c r="P249" i="14"/>
  <c r="L250" i="14"/>
  <c r="L251" i="14"/>
  <c r="L252" i="14"/>
  <c r="L253" i="14"/>
  <c r="I255" i="14"/>
  <c r="I248" i="14" s="1"/>
  <c r="K248" i="14" s="1"/>
  <c r="K257" i="14"/>
  <c r="K258" i="14"/>
  <c r="J260" i="14"/>
  <c r="L262" i="14"/>
  <c r="O262" i="14" s="1"/>
  <c r="M262" i="14"/>
  <c r="N262" i="14"/>
  <c r="P262" i="14"/>
  <c r="O265" i="14"/>
  <c r="P265" i="14"/>
  <c r="L266" i="14"/>
  <c r="L264" i="14" s="1"/>
  <c r="M266" i="14"/>
  <c r="M264" i="14" s="1"/>
  <c r="N266" i="14"/>
  <c r="O268" i="14"/>
  <c r="P268" i="14"/>
  <c r="L269" i="14"/>
  <c r="L267" i="14" s="1"/>
  <c r="O267" i="14" s="1"/>
  <c r="M269" i="14"/>
  <c r="M267" i="14" s="1"/>
  <c r="P267" i="14" s="1"/>
  <c r="N269" i="14"/>
  <c r="N267" i="14" s="1"/>
  <c r="I271" i="14"/>
  <c r="K271" i="14" s="1"/>
  <c r="J276" i="14"/>
  <c r="L278" i="14"/>
  <c r="M278" i="14"/>
  <c r="P278" i="14" s="1"/>
  <c r="N278" i="14"/>
  <c r="O281" i="14"/>
  <c r="P281" i="14"/>
  <c r="L282" i="14"/>
  <c r="O282" i="14" s="1"/>
  <c r="M282" i="14"/>
  <c r="P282" i="14" s="1"/>
  <c r="N282" i="14"/>
  <c r="N280" i="14" s="1"/>
  <c r="O284" i="14"/>
  <c r="P284" i="14"/>
  <c r="L285" i="14"/>
  <c r="O285" i="14" s="1"/>
  <c r="M285" i="14"/>
  <c r="P285" i="14" s="1"/>
  <c r="N285" i="14"/>
  <c r="N283" i="14" s="1"/>
  <c r="I287" i="14"/>
  <c r="I276" i="14" s="1"/>
  <c r="K276" i="14" s="1"/>
  <c r="I288" i="14"/>
  <c r="I290" i="14"/>
  <c r="K290" i="14" s="1"/>
  <c r="I291" i="14"/>
  <c r="K291" i="14" s="1"/>
  <c r="I293" i="14"/>
  <c r="K293" i="14" s="1"/>
  <c r="I294" i="14"/>
  <c r="K294" i="14" s="1"/>
  <c r="J297" i="14"/>
  <c r="L299" i="14"/>
  <c r="O299" i="14" s="1"/>
  <c r="M299" i="14"/>
  <c r="P299" i="14" s="1"/>
  <c r="N299" i="14"/>
  <c r="O302" i="14"/>
  <c r="P302" i="14"/>
  <c r="L303" i="14"/>
  <c r="O303" i="14" s="1"/>
  <c r="M303" i="14"/>
  <c r="P303" i="14" s="1"/>
  <c r="N303" i="14"/>
  <c r="N301" i="14" s="1"/>
  <c r="O305" i="14"/>
  <c r="P305" i="14"/>
  <c r="L306" i="14"/>
  <c r="O306" i="14" s="1"/>
  <c r="M306" i="14"/>
  <c r="P306" i="14" s="1"/>
  <c r="N306" i="14"/>
  <c r="N304" i="14" s="1"/>
  <c r="I309" i="14"/>
  <c r="I297" i="14" s="1"/>
  <c r="K297" i="14" s="1"/>
  <c r="I310" i="14"/>
  <c r="K310" i="14" s="1"/>
  <c r="I311" i="14"/>
  <c r="K311" i="14" s="1"/>
  <c r="I312" i="14"/>
  <c r="K312" i="14" s="1"/>
  <c r="J314" i="14"/>
  <c r="L316" i="14"/>
  <c r="M316" i="14"/>
  <c r="P316" i="14" s="1"/>
  <c r="N316" i="14"/>
  <c r="O316" i="14"/>
  <c r="O319" i="14"/>
  <c r="P319" i="14"/>
  <c r="L320" i="14"/>
  <c r="M320" i="14"/>
  <c r="M318" i="14" s="1"/>
  <c r="P318" i="14" s="1"/>
  <c r="N320" i="14"/>
  <c r="N318" i="14" s="1"/>
  <c r="O322" i="14"/>
  <c r="P322" i="14"/>
  <c r="L323" i="14"/>
  <c r="L321" i="14" s="1"/>
  <c r="O321" i="14" s="1"/>
  <c r="M323" i="14"/>
  <c r="P323" i="14" s="1"/>
  <c r="N323" i="14"/>
  <c r="I325" i="14"/>
  <c r="K325" i="14" s="1"/>
  <c r="I327" i="14"/>
  <c r="L329" i="14"/>
  <c r="O329" i="14" s="1"/>
  <c r="M329" i="14"/>
  <c r="N329" i="14"/>
  <c r="O332" i="14"/>
  <c r="P332" i="14"/>
  <c r="L333" i="14"/>
  <c r="M333" i="14"/>
  <c r="M331" i="14" s="1"/>
  <c r="N333" i="14"/>
  <c r="O335" i="14"/>
  <c r="P335" i="14"/>
  <c r="L336" i="14"/>
  <c r="L334" i="14" s="1"/>
  <c r="O334" i="14" s="1"/>
  <c r="M336" i="14"/>
  <c r="P336" i="14" s="1"/>
  <c r="N336" i="14"/>
  <c r="N334" i="14" s="1"/>
  <c r="D337" i="14"/>
  <c r="I338" i="14"/>
  <c r="J338" i="14"/>
  <c r="I340" i="14"/>
  <c r="J340" i="14"/>
  <c r="J341" i="14"/>
  <c r="J342" i="14"/>
  <c r="J343" i="14"/>
  <c r="L346" i="14"/>
  <c r="O346" i="14" s="1"/>
  <c r="M346" i="14"/>
  <c r="P346" i="14" s="1"/>
  <c r="N346" i="14"/>
  <c r="O349" i="14"/>
  <c r="P349" i="14"/>
  <c r="L350" i="14"/>
  <c r="M350" i="14"/>
  <c r="N350" i="14"/>
  <c r="O352" i="14"/>
  <c r="P352" i="14"/>
  <c r="L353" i="14"/>
  <c r="M353" i="14"/>
  <c r="M351" i="14" s="1"/>
  <c r="N353" i="14"/>
  <c r="N351" i="14" s="1"/>
  <c r="I355" i="14"/>
  <c r="J358" i="14"/>
  <c r="K358" i="14"/>
  <c r="I359" i="14"/>
  <c r="J359" i="14"/>
  <c r="I360" i="14"/>
  <c r="J360" i="14"/>
  <c r="J361" i="14"/>
  <c r="K361" i="14"/>
  <c r="I362" i="14"/>
  <c r="J362" i="14"/>
  <c r="J355" i="14" s="1"/>
  <c r="J363" i="14"/>
  <c r="K363" i="14"/>
  <c r="I365" i="14"/>
  <c r="J368" i="14"/>
  <c r="K368" i="14"/>
  <c r="I369" i="14"/>
  <c r="J369" i="14"/>
  <c r="I370" i="14"/>
  <c r="J370" i="14"/>
  <c r="J371" i="14"/>
  <c r="K371" i="14"/>
  <c r="I372" i="14"/>
  <c r="J372" i="14"/>
  <c r="J365" i="14" s="1"/>
  <c r="A373" i="14"/>
  <c r="J373" i="14"/>
  <c r="K373" i="14"/>
  <c r="I374" i="14"/>
  <c r="J377" i="14"/>
  <c r="K377" i="14"/>
  <c r="I378" i="14"/>
  <c r="J378" i="14"/>
  <c r="I379" i="14"/>
  <c r="J379" i="14"/>
  <c r="J380" i="14"/>
  <c r="K380" i="14"/>
  <c r="I381" i="14"/>
  <c r="J381" i="14"/>
  <c r="J374" i="14" s="1"/>
  <c r="A382" i="14"/>
  <c r="J382" i="14"/>
  <c r="K382" i="14"/>
  <c r="D384" i="14"/>
  <c r="I385" i="14"/>
  <c r="J385" i="14"/>
  <c r="I388" i="14"/>
  <c r="K388" i="14" s="1"/>
  <c r="J388" i="14"/>
  <c r="L390" i="14"/>
  <c r="M390" i="14"/>
  <c r="N390" i="14"/>
  <c r="O390" i="14"/>
  <c r="O393" i="14"/>
  <c r="P393" i="14"/>
  <c r="L394" i="14"/>
  <c r="L392" i="14" s="1"/>
  <c r="O392" i="14" s="1"/>
  <c r="M394" i="14"/>
  <c r="M392" i="14" s="1"/>
  <c r="P392" i="14" s="1"/>
  <c r="N394" i="14"/>
  <c r="N392" i="14" s="1"/>
  <c r="O396" i="14"/>
  <c r="P396" i="14"/>
  <c r="L397" i="14"/>
  <c r="O397" i="14" s="1"/>
  <c r="M397" i="14"/>
  <c r="M395" i="14" s="1"/>
  <c r="P395" i="14" s="1"/>
  <c r="N397" i="14"/>
  <c r="N395" i="14" s="1"/>
  <c r="K399" i="14"/>
  <c r="K400" i="14"/>
  <c r="I401" i="14"/>
  <c r="K401" i="14" s="1"/>
  <c r="J401" i="14"/>
  <c r="L403" i="14"/>
  <c r="O403" i="14" s="1"/>
  <c r="M403" i="14"/>
  <c r="P403" i="14" s="1"/>
  <c r="N403" i="14"/>
  <c r="O406" i="14"/>
  <c r="P406" i="14"/>
  <c r="L407" i="14"/>
  <c r="L405" i="14" s="1"/>
  <c r="O405" i="14" s="1"/>
  <c r="M407" i="14"/>
  <c r="M405" i="14" s="1"/>
  <c r="P405" i="14" s="1"/>
  <c r="N407" i="14"/>
  <c r="N405" i="14" s="1"/>
  <c r="O409" i="14"/>
  <c r="P409" i="14"/>
  <c r="L410" i="14"/>
  <c r="O410" i="14" s="1"/>
  <c r="M410" i="14"/>
  <c r="M408" i="14" s="1"/>
  <c r="P408" i="14" s="1"/>
  <c r="N410" i="14"/>
  <c r="N408" i="14" s="1"/>
  <c r="K412" i="14"/>
  <c r="K413" i="14"/>
  <c r="L420" i="14"/>
  <c r="M420" i="14"/>
  <c r="N420" i="14"/>
  <c r="O420" i="14"/>
  <c r="P420" i="14"/>
  <c r="O423" i="14"/>
  <c r="P423" i="14"/>
  <c r="L424" i="14"/>
  <c r="L422" i="14" s="1"/>
  <c r="N424" i="14"/>
  <c r="N421" i="14" s="1"/>
  <c r="N419" i="14" s="1"/>
  <c r="M429" i="14"/>
  <c r="P429" i="14" s="1"/>
  <c r="N429" i="14"/>
  <c r="O430" i="14"/>
  <c r="P430" i="14"/>
  <c r="L431" i="14"/>
  <c r="L429" i="14" s="1"/>
  <c r="O429" i="14" s="1"/>
  <c r="P431" i="14"/>
  <c r="J434" i="14"/>
  <c r="J418" i="14" s="1"/>
  <c r="I435" i="14"/>
  <c r="I433" i="14" s="1"/>
  <c r="I417" i="14" s="1"/>
  <c r="I437" i="14"/>
  <c r="K437" i="14" s="1"/>
  <c r="I438" i="14"/>
  <c r="K438" i="14" s="1"/>
  <c r="I439" i="14"/>
  <c r="K439" i="14" s="1"/>
  <c r="I440" i="14"/>
  <c r="K440" i="14" s="1"/>
  <c r="I441" i="14"/>
  <c r="K441" i="14" s="1"/>
  <c r="J442" i="14"/>
  <c r="J443" i="14"/>
  <c r="L445" i="14"/>
  <c r="M445" i="14"/>
  <c r="M444" i="14" s="1"/>
  <c r="P444" i="14" s="1"/>
  <c r="N445" i="14"/>
  <c r="O445" i="14"/>
  <c r="M446" i="14"/>
  <c r="P446" i="14"/>
  <c r="M447" i="14"/>
  <c r="P447" i="14" s="1"/>
  <c r="O448" i="14"/>
  <c r="P448" i="14"/>
  <c r="L449" i="14"/>
  <c r="O449" i="14" s="1"/>
  <c r="N449" i="14"/>
  <c r="N447" i="14" s="1"/>
  <c r="P449" i="14"/>
  <c r="M454" i="14"/>
  <c r="P454" i="14" s="1"/>
  <c r="N454" i="14"/>
  <c r="O455" i="14"/>
  <c r="P455" i="14"/>
  <c r="L456" i="14"/>
  <c r="P456" i="14"/>
  <c r="K458" i="14"/>
  <c r="I460" i="14"/>
  <c r="I442" i="14" s="1"/>
  <c r="K442" i="14" s="1"/>
  <c r="I462" i="14"/>
  <c r="I443" i="14" s="1"/>
  <c r="K443" i="14" s="1"/>
  <c r="I463" i="14"/>
  <c r="I464" i="14"/>
  <c r="I465" i="14"/>
  <c r="K465" i="14" s="1"/>
  <c r="J465" i="14"/>
  <c r="I466" i="14"/>
  <c r="K466" i="14" s="1"/>
  <c r="J466" i="14"/>
  <c r="L468" i="14"/>
  <c r="M468" i="14"/>
  <c r="N468" i="14"/>
  <c r="O468" i="14"/>
  <c r="P468" i="14"/>
  <c r="O471" i="14"/>
  <c r="P471" i="14"/>
  <c r="L472" i="14"/>
  <c r="N473" i="14"/>
  <c r="N472" i="14" s="1"/>
  <c r="N476" i="14"/>
  <c r="M477" i="14"/>
  <c r="N477" i="14"/>
  <c r="P477" i="14"/>
  <c r="O478" i="14"/>
  <c r="P478" i="14"/>
  <c r="L479" i="14"/>
  <c r="L477" i="14" s="1"/>
  <c r="O477" i="14" s="1"/>
  <c r="P479" i="14"/>
  <c r="I483" i="14"/>
  <c r="K483" i="14" s="1"/>
  <c r="I485" i="14"/>
  <c r="K485" i="14" s="1"/>
  <c r="I487" i="14"/>
  <c r="K487" i="14" s="1"/>
  <c r="I489" i="14"/>
  <c r="K489" i="14" s="1"/>
  <c r="I492" i="14"/>
  <c r="K492" i="14" s="1"/>
  <c r="I495" i="14"/>
  <c r="K495" i="14" s="1"/>
  <c r="I498" i="14"/>
  <c r="K498" i="14" s="1"/>
  <c r="J500" i="14"/>
  <c r="K500" i="14"/>
  <c r="K501" i="14"/>
  <c r="L503" i="14"/>
  <c r="O503" i="14" s="1"/>
  <c r="M503" i="14"/>
  <c r="N503" i="14"/>
  <c r="L504" i="14"/>
  <c r="O504" i="14" s="1"/>
  <c r="M504" i="14"/>
  <c r="P504" i="14" s="1"/>
  <c r="L505" i="14"/>
  <c r="O505" i="14" s="1"/>
  <c r="M505" i="14"/>
  <c r="P505" i="14" s="1"/>
  <c r="O506" i="14"/>
  <c r="P506" i="14"/>
  <c r="N507" i="14"/>
  <c r="N505" i="14" s="1"/>
  <c r="O507" i="14"/>
  <c r="P507" i="14"/>
  <c r="L512" i="14"/>
  <c r="M512" i="14"/>
  <c r="N512" i="14"/>
  <c r="O512" i="14"/>
  <c r="P512" i="14"/>
  <c r="O513" i="14"/>
  <c r="P513" i="14"/>
  <c r="O514" i="14"/>
  <c r="P514" i="14"/>
  <c r="K516" i="14"/>
  <c r="J517" i="14"/>
  <c r="J501" i="14" s="1"/>
  <c r="K517" i="14"/>
  <c r="L524" i="14"/>
  <c r="M524" i="14"/>
  <c r="P524" i="14" s="1"/>
  <c r="N524" i="14"/>
  <c r="O524" i="14"/>
  <c r="M525" i="14"/>
  <c r="P525" i="14" s="1"/>
  <c r="M526" i="14"/>
  <c r="P526" i="14" s="1"/>
  <c r="O527" i="14"/>
  <c r="P527" i="14"/>
  <c r="L528" i="14"/>
  <c r="L526" i="14" s="1"/>
  <c r="O526" i="14" s="1"/>
  <c r="N528" i="14"/>
  <c r="N526" i="14" s="1"/>
  <c r="P528" i="14"/>
  <c r="M533" i="14"/>
  <c r="P533" i="14" s="1"/>
  <c r="N533" i="14"/>
  <c r="O534" i="14"/>
  <c r="P534" i="14"/>
  <c r="L535" i="14"/>
  <c r="L533" i="14" s="1"/>
  <c r="O533" i="14" s="1"/>
  <c r="P535" i="14"/>
  <c r="I537" i="14"/>
  <c r="I522" i="14" s="1"/>
  <c r="K522" i="14" s="1"/>
  <c r="I538" i="14"/>
  <c r="K538" i="14" s="1"/>
  <c r="I539" i="14"/>
  <c r="K539" i="14" s="1"/>
  <c r="I540" i="14"/>
  <c r="K540" i="14" s="1"/>
  <c r="I541" i="14"/>
  <c r="K541" i="14" s="1"/>
  <c r="I542" i="14"/>
  <c r="K542" i="14" s="1"/>
  <c r="L545" i="14"/>
  <c r="O545" i="14" s="1"/>
  <c r="O548" i="14"/>
  <c r="P548" i="14"/>
  <c r="L549" i="14"/>
  <c r="M549" i="14" s="1"/>
  <c r="M546" i="14" s="1"/>
  <c r="N552" i="14"/>
  <c r="N549" i="14" s="1"/>
  <c r="N553" i="14"/>
  <c r="M555" i="14"/>
  <c r="M545" i="14" s="1"/>
  <c r="N555" i="14"/>
  <c r="N545" i="14" s="1"/>
  <c r="P555" i="14"/>
  <c r="O556" i="14"/>
  <c r="P556" i="14"/>
  <c r="L557" i="14"/>
  <c r="L555" i="14" s="1"/>
  <c r="O555" i="14" s="1"/>
  <c r="P557" i="14"/>
  <c r="I560" i="14"/>
  <c r="K560" i="14" s="1"/>
  <c r="J560" i="14"/>
  <c r="I561" i="14"/>
  <c r="J561" i="14"/>
  <c r="I568" i="14"/>
  <c r="J568" i="14"/>
  <c r="I569" i="14"/>
  <c r="K569" i="14" s="1"/>
  <c r="J569" i="14"/>
  <c r="I576" i="14"/>
  <c r="I559" i="14" s="1"/>
  <c r="I543" i="14" s="1"/>
  <c r="I577" i="14"/>
  <c r="J577" i="14"/>
  <c r="J582" i="14"/>
  <c r="J576" i="14" s="1"/>
  <c r="J559" i="14" s="1"/>
  <c r="J543" i="14" s="1"/>
  <c r="J583" i="14"/>
  <c r="I593" i="14"/>
  <c r="I592" i="14" s="1"/>
  <c r="I594" i="14"/>
  <c r="J595" i="14"/>
  <c r="J596" i="14"/>
  <c r="J594" i="14" s="1"/>
  <c r="J603" i="14"/>
  <c r="J593" i="14" s="1"/>
  <c r="J604" i="14"/>
  <c r="J611" i="14"/>
  <c r="K611" i="14"/>
  <c r="J612" i="14"/>
  <c r="K612" i="14"/>
  <c r="J613" i="14"/>
  <c r="K613" i="14"/>
  <c r="I620" i="14"/>
  <c r="K620" i="14" s="1"/>
  <c r="J620" i="14"/>
  <c r="I621" i="14"/>
  <c r="K621" i="14" s="1"/>
  <c r="J621" i="14"/>
  <c r="L630" i="14"/>
  <c r="M630" i="14"/>
  <c r="N630" i="14"/>
  <c r="O630" i="14"/>
  <c r="P630" i="14"/>
  <c r="M631" i="14"/>
  <c r="P631" i="14" s="1"/>
  <c r="M632" i="14"/>
  <c r="P632" i="14" s="1"/>
  <c r="O633" i="14"/>
  <c r="P633" i="14"/>
  <c r="L634" i="14"/>
  <c r="O634" i="14" s="1"/>
  <c r="N634" i="14"/>
  <c r="N632" i="14" s="1"/>
  <c r="P634" i="14"/>
  <c r="M639" i="14"/>
  <c r="P639" i="14" s="1"/>
  <c r="N639" i="14"/>
  <c r="O640" i="14"/>
  <c r="P640" i="14"/>
  <c r="L641" i="14"/>
  <c r="L639" i="14" s="1"/>
  <c r="O639" i="14" s="1"/>
  <c r="P641" i="14"/>
  <c r="I643" i="14"/>
  <c r="K643" i="14" s="1"/>
  <c r="I644" i="14"/>
  <c r="K644" i="14" s="1"/>
  <c r="J645" i="14"/>
  <c r="K645" i="14"/>
  <c r="J646" i="14"/>
  <c r="K646" i="14"/>
  <c r="I647" i="14"/>
  <c r="K647" i="14" s="1"/>
  <c r="J647" i="14"/>
  <c r="J648" i="14"/>
  <c r="K648" i="14"/>
  <c r="I649" i="14"/>
  <c r="K649" i="14" s="1"/>
  <c r="J649" i="14"/>
  <c r="J650" i="14"/>
  <c r="K650" i="14"/>
  <c r="I651" i="14"/>
  <c r="I628" i="14" s="1"/>
  <c r="K628" i="14" s="1"/>
  <c r="J651" i="14"/>
  <c r="J628" i="14" s="1"/>
  <c r="K651" i="14"/>
  <c r="J652" i="14"/>
  <c r="K652" i="14"/>
  <c r="L656" i="14"/>
  <c r="M656" i="14"/>
  <c r="P656" i="14" s="1"/>
  <c r="N656" i="14"/>
  <c r="O656" i="14"/>
  <c r="M657" i="14"/>
  <c r="P657" i="14"/>
  <c r="M658" i="14"/>
  <c r="P658" i="14" s="1"/>
  <c r="O659" i="14"/>
  <c r="P659" i="14"/>
  <c r="L660" i="14"/>
  <c r="L658" i="14" s="1"/>
  <c r="O658" i="14" s="1"/>
  <c r="N660" i="14"/>
  <c r="N658" i="14" s="1"/>
  <c r="P660" i="14"/>
  <c r="L665" i="14"/>
  <c r="O665" i="14" s="1"/>
  <c r="M665" i="14"/>
  <c r="P665" i="14" s="1"/>
  <c r="N665" i="14"/>
  <c r="O666" i="14"/>
  <c r="P666" i="14"/>
  <c r="O667" i="14"/>
  <c r="P667" i="14"/>
  <c r="I669" i="14"/>
  <c r="I654" i="14" s="1"/>
  <c r="K654" i="14" s="1"/>
  <c r="I670" i="14"/>
  <c r="K670" i="14" s="1"/>
  <c r="I671" i="14"/>
  <c r="K671" i="14" s="1"/>
  <c r="J675" i="14"/>
  <c r="J669" i="14" s="1"/>
  <c r="J654" i="14" s="1"/>
  <c r="I678" i="14"/>
  <c r="K678" i="14" s="1"/>
  <c r="J679" i="14"/>
  <c r="J678" i="14" s="1"/>
  <c r="M685" i="14"/>
  <c r="P685" i="14" s="1"/>
  <c r="L686" i="14"/>
  <c r="M686" i="14"/>
  <c r="N686" i="14"/>
  <c r="N685" i="14" s="1"/>
  <c r="O686" i="14"/>
  <c r="P686" i="14"/>
  <c r="M687" i="14"/>
  <c r="P687" i="14"/>
  <c r="M688" i="14"/>
  <c r="P688" i="14" s="1"/>
  <c r="L690" i="14"/>
  <c r="L687" i="14" s="1"/>
  <c r="O687" i="14" s="1"/>
  <c r="N690" i="14"/>
  <c r="N687" i="14" s="1"/>
  <c r="P690" i="14"/>
  <c r="L695" i="14"/>
  <c r="M695" i="14"/>
  <c r="P695" i="14" s="1"/>
  <c r="N695" i="14"/>
  <c r="O695" i="14"/>
  <c r="O696" i="14"/>
  <c r="P696" i="14"/>
  <c r="O697" i="14"/>
  <c r="P697" i="14"/>
  <c r="I699" i="14"/>
  <c r="K699" i="14" s="1"/>
  <c r="J699" i="14"/>
  <c r="I700" i="14"/>
  <c r="K700" i="14" s="1"/>
  <c r="J700" i="14"/>
  <c r="I701" i="14"/>
  <c r="K701" i="14" s="1"/>
  <c r="J701" i="14"/>
  <c r="I704" i="14"/>
  <c r="I707" i="14"/>
  <c r="I708" i="14"/>
  <c r="K708" i="14" s="1"/>
  <c r="J708" i="14"/>
  <c r="J718" i="14"/>
  <c r="J719" i="14"/>
  <c r="I720" i="14"/>
  <c r="K720" i="14" s="1"/>
  <c r="J720" i="14"/>
  <c r="I721" i="14"/>
  <c r="K721" i="14" s="1"/>
  <c r="I722" i="14"/>
  <c r="K722" i="14" s="1"/>
  <c r="I723" i="14"/>
  <c r="K723" i="14" s="1"/>
  <c r="J723" i="14"/>
  <c r="J724" i="14"/>
  <c r="I725" i="14"/>
  <c r="K725" i="14" s="1"/>
  <c r="J725" i="14"/>
  <c r="I726" i="14"/>
  <c r="K726" i="14" s="1"/>
  <c r="J726" i="14"/>
  <c r="J727" i="14"/>
  <c r="I728" i="14"/>
  <c r="K728" i="14" s="1"/>
  <c r="J728" i="14"/>
  <c r="I729" i="14"/>
  <c r="K729" i="14" s="1"/>
  <c r="J729" i="14"/>
  <c r="J736" i="14"/>
  <c r="K736" i="14"/>
  <c r="L738" i="14"/>
  <c r="M738" i="14"/>
  <c r="M737" i="14" s="1"/>
  <c r="P737" i="14" s="1"/>
  <c r="N738" i="14"/>
  <c r="O738" i="14"/>
  <c r="P738" i="14"/>
  <c r="L739" i="14"/>
  <c r="O739" i="14" s="1"/>
  <c r="M739" i="14"/>
  <c r="P739" i="14"/>
  <c r="L740" i="14"/>
  <c r="O740" i="14" s="1"/>
  <c r="M740" i="14"/>
  <c r="P740" i="14" s="1"/>
  <c r="O741" i="14"/>
  <c r="P741" i="14"/>
  <c r="N742" i="14"/>
  <c r="N740" i="14" s="1"/>
  <c r="O742" i="14"/>
  <c r="P742" i="14"/>
  <c r="L747" i="14"/>
  <c r="O747" i="14" s="1"/>
  <c r="M747" i="14"/>
  <c r="P747" i="14" s="1"/>
  <c r="N747" i="14"/>
  <c r="O748" i="14"/>
  <c r="P748" i="14"/>
  <c r="O749" i="14"/>
  <c r="P749" i="14"/>
  <c r="J753" i="14"/>
  <c r="K753" i="14"/>
  <c r="L755" i="14"/>
  <c r="M755" i="14"/>
  <c r="M754" i="14" s="1"/>
  <c r="P754" i="14" s="1"/>
  <c r="N755" i="14"/>
  <c r="L756" i="14"/>
  <c r="O756" i="14" s="1"/>
  <c r="M756" i="14"/>
  <c r="P756" i="14" s="1"/>
  <c r="L757" i="14"/>
  <c r="M757" i="14"/>
  <c r="P757" i="14" s="1"/>
  <c r="N757" i="14"/>
  <c r="O757" i="14"/>
  <c r="O758" i="14"/>
  <c r="P758" i="14"/>
  <c r="N759" i="14"/>
  <c r="N756" i="14" s="1"/>
  <c r="N754" i="14" s="1"/>
  <c r="O759" i="14"/>
  <c r="P759" i="14"/>
  <c r="L764" i="14"/>
  <c r="O764" i="14" s="1"/>
  <c r="M764" i="14"/>
  <c r="P764" i="14" s="1"/>
  <c r="N764" i="14"/>
  <c r="O765" i="14"/>
  <c r="P765" i="14"/>
  <c r="O766" i="14"/>
  <c r="P766" i="14"/>
  <c r="J769" i="14"/>
  <c r="K769" i="14"/>
  <c r="L771" i="14"/>
  <c r="O771" i="14" s="1"/>
  <c r="M771" i="14"/>
  <c r="N771" i="14"/>
  <c r="P771" i="14"/>
  <c r="L772" i="14"/>
  <c r="O772" i="14" s="1"/>
  <c r="M772" i="14"/>
  <c r="P772" i="14" s="1"/>
  <c r="L773" i="14"/>
  <c r="O773" i="14" s="1"/>
  <c r="M773" i="14"/>
  <c r="P773" i="14" s="1"/>
  <c r="O774" i="14"/>
  <c r="P774" i="14"/>
  <c r="N775" i="14"/>
  <c r="N773" i="14" s="1"/>
  <c r="O775" i="14"/>
  <c r="P775" i="14"/>
  <c r="L780" i="14"/>
  <c r="M780" i="14"/>
  <c r="P780" i="14" s="1"/>
  <c r="N780" i="14"/>
  <c r="O780" i="14"/>
  <c r="O781" i="14"/>
  <c r="P781" i="14"/>
  <c r="O782" i="14"/>
  <c r="P782" i="14"/>
  <c r="L787" i="14"/>
  <c r="M787" i="14"/>
  <c r="N787" i="14"/>
  <c r="N786" i="14" s="1"/>
  <c r="P787" i="14"/>
  <c r="M788" i="14"/>
  <c r="M789" i="14"/>
  <c r="N789" i="14"/>
  <c r="P789" i="14"/>
  <c r="O790" i="14"/>
  <c r="P790" i="14"/>
  <c r="L791" i="14"/>
  <c r="O791" i="14" s="1"/>
  <c r="N791" i="14"/>
  <c r="N788" i="14" s="1"/>
  <c r="P791" i="14"/>
  <c r="L796" i="14"/>
  <c r="O796" i="14" s="1"/>
  <c r="M796" i="14"/>
  <c r="P796" i="14" s="1"/>
  <c r="N796" i="14"/>
  <c r="O797" i="14"/>
  <c r="P797" i="14"/>
  <c r="O798" i="14"/>
  <c r="P798" i="14"/>
  <c r="I800" i="14"/>
  <c r="K800" i="14" s="1"/>
  <c r="J800" i="14"/>
  <c r="J785" i="14" s="1"/>
  <c r="J801" i="14"/>
  <c r="K802" i="14"/>
  <c r="J804" i="14"/>
  <c r="K804" i="14"/>
  <c r="L806" i="14"/>
  <c r="M806" i="14"/>
  <c r="M805" i="14" s="1"/>
  <c r="P805" i="14" s="1"/>
  <c r="N806" i="14"/>
  <c r="N805" i="14" s="1"/>
  <c r="O806" i="14"/>
  <c r="L807" i="14"/>
  <c r="O807" i="14" s="1"/>
  <c r="M807" i="14"/>
  <c r="P807" i="14"/>
  <c r="L808" i="14"/>
  <c r="O808" i="14" s="1"/>
  <c r="M808" i="14"/>
  <c r="P808" i="14" s="1"/>
  <c r="O809" i="14"/>
  <c r="P809" i="14"/>
  <c r="N810" i="14"/>
  <c r="N807" i="14" s="1"/>
  <c r="O810" i="14"/>
  <c r="P810" i="14"/>
  <c r="L815" i="14"/>
  <c r="M815" i="14"/>
  <c r="N815" i="14"/>
  <c r="O815" i="14"/>
  <c r="P815" i="14"/>
  <c r="O816" i="14"/>
  <c r="P816" i="14"/>
  <c r="O817" i="14"/>
  <c r="P817" i="14"/>
  <c r="H820" i="14"/>
  <c r="I821" i="14"/>
  <c r="J821" i="14"/>
  <c r="I822" i="14"/>
  <c r="J822" i="14"/>
  <c r="I823" i="14"/>
  <c r="J823" i="14"/>
  <c r="I824" i="14"/>
  <c r="J824" i="14"/>
  <c r="I825" i="14"/>
  <c r="K825" i="14" s="1"/>
  <c r="J825" i="14"/>
  <c r="I826" i="14"/>
  <c r="K826" i="14" s="1"/>
  <c r="J826" i="14"/>
  <c r="I827" i="14"/>
  <c r="J827" i="14"/>
  <c r="I828" i="14"/>
  <c r="J828" i="14"/>
  <c r="L22" i="13"/>
  <c r="M22" i="13"/>
  <c r="N22" i="13"/>
  <c r="L25" i="13"/>
  <c r="M25" i="13"/>
  <c r="P25" i="13" s="1"/>
  <c r="N25" i="13"/>
  <c r="O25" i="13"/>
  <c r="L32" i="13"/>
  <c r="M32" i="13"/>
  <c r="N32" i="13"/>
  <c r="O32" i="13"/>
  <c r="P32" i="13"/>
  <c r="L35" i="13"/>
  <c r="L15" i="13" s="1"/>
  <c r="M35" i="13"/>
  <c r="N35" i="13"/>
  <c r="M36" i="13"/>
  <c r="P36" i="13" s="1"/>
  <c r="N36" i="13"/>
  <c r="L42" i="13"/>
  <c r="M42" i="13"/>
  <c r="P42" i="13" s="1"/>
  <c r="N42" i="13"/>
  <c r="O45" i="13"/>
  <c r="P45" i="13"/>
  <c r="L46" i="13"/>
  <c r="L44" i="13" s="1"/>
  <c r="M46" i="13"/>
  <c r="M44" i="13" s="1"/>
  <c r="N46" i="13"/>
  <c r="O48" i="13"/>
  <c r="P48" i="13"/>
  <c r="L49" i="13"/>
  <c r="L47" i="13" s="1"/>
  <c r="O47" i="13" s="1"/>
  <c r="M49" i="13"/>
  <c r="M47" i="13" s="1"/>
  <c r="P47" i="13" s="1"/>
  <c r="N49" i="13"/>
  <c r="N47" i="13" s="1"/>
  <c r="L54" i="13"/>
  <c r="O54" i="13" s="1"/>
  <c r="M54" i="13"/>
  <c r="N54" i="13"/>
  <c r="O57" i="13"/>
  <c r="P57" i="13"/>
  <c r="L58" i="13"/>
  <c r="L56" i="13" s="1"/>
  <c r="M58" i="13"/>
  <c r="M56" i="13" s="1"/>
  <c r="N58" i="13"/>
  <c r="O60" i="13"/>
  <c r="P60" i="13"/>
  <c r="L61" i="13"/>
  <c r="L59" i="13" s="1"/>
  <c r="M61" i="13"/>
  <c r="M59" i="13" s="1"/>
  <c r="N61" i="13"/>
  <c r="J65" i="13"/>
  <c r="L67" i="13"/>
  <c r="M67" i="13"/>
  <c r="P67" i="13" s="1"/>
  <c r="N67" i="13"/>
  <c r="O70" i="13"/>
  <c r="P70" i="13"/>
  <c r="L71" i="13"/>
  <c r="O71" i="13" s="1"/>
  <c r="M71" i="13"/>
  <c r="P71" i="13" s="1"/>
  <c r="N71" i="13"/>
  <c r="O73" i="13"/>
  <c r="P73" i="13"/>
  <c r="L74" i="13"/>
  <c r="O74" i="13" s="1"/>
  <c r="M74" i="13"/>
  <c r="P74" i="13" s="1"/>
  <c r="N74" i="13"/>
  <c r="N72" i="13" s="1"/>
  <c r="J76" i="13"/>
  <c r="J64" i="13" s="1"/>
  <c r="J77" i="13"/>
  <c r="I78" i="13"/>
  <c r="K78" i="13" s="1"/>
  <c r="I79" i="13"/>
  <c r="I80" i="13"/>
  <c r="K80" i="13" s="1"/>
  <c r="I81" i="13"/>
  <c r="K81" i="13" s="1"/>
  <c r="I82" i="13"/>
  <c r="K82" i="13" s="1"/>
  <c r="I83" i="13"/>
  <c r="K83" i="13" s="1"/>
  <c r="I84" i="13"/>
  <c r="K84" i="13" s="1"/>
  <c r="L89" i="13"/>
  <c r="O89" i="13" s="1"/>
  <c r="M89" i="13"/>
  <c r="P89" i="13" s="1"/>
  <c r="N89" i="13"/>
  <c r="O92" i="13"/>
  <c r="P92" i="13"/>
  <c r="L93" i="13"/>
  <c r="L91" i="13" s="1"/>
  <c r="M93" i="13"/>
  <c r="M91" i="13" s="1"/>
  <c r="N93" i="13"/>
  <c r="N91" i="13" s="1"/>
  <c r="O95" i="13"/>
  <c r="P95" i="13"/>
  <c r="L96" i="13"/>
  <c r="M96" i="13"/>
  <c r="P96" i="13" s="1"/>
  <c r="N96" i="13"/>
  <c r="N94" i="13" s="1"/>
  <c r="I98" i="13"/>
  <c r="K98" i="13" s="1"/>
  <c r="J98" i="13"/>
  <c r="J86" i="13" s="1"/>
  <c r="I99" i="13"/>
  <c r="J99" i="13"/>
  <c r="J87" i="13" s="1"/>
  <c r="I100" i="13"/>
  <c r="K100" i="13" s="1"/>
  <c r="J100" i="13"/>
  <c r="I102" i="13"/>
  <c r="K102" i="13" s="1"/>
  <c r="I103" i="13"/>
  <c r="K103" i="13" s="1"/>
  <c r="I104" i="13"/>
  <c r="K104" i="13" s="1"/>
  <c r="I106" i="13"/>
  <c r="K106" i="13" s="1"/>
  <c r="I107" i="13"/>
  <c r="K107" i="13" s="1"/>
  <c r="I109" i="13"/>
  <c r="K109" i="13" s="1"/>
  <c r="I110" i="13"/>
  <c r="K110" i="13" s="1"/>
  <c r="I111" i="13"/>
  <c r="K111" i="13" s="1"/>
  <c r="J111" i="13"/>
  <c r="J112" i="13"/>
  <c r="I113" i="13"/>
  <c r="K113" i="13" s="1"/>
  <c r="I114" i="13"/>
  <c r="K114" i="13" s="1"/>
  <c r="I115" i="13"/>
  <c r="K115" i="13" s="1"/>
  <c r="I116" i="13"/>
  <c r="K116" i="13" s="1"/>
  <c r="L120" i="13"/>
  <c r="O120" i="13" s="1"/>
  <c r="M120" i="13"/>
  <c r="P120" i="13" s="1"/>
  <c r="N120" i="13"/>
  <c r="O123" i="13"/>
  <c r="P123" i="13"/>
  <c r="L124" i="13"/>
  <c r="L122" i="13" s="1"/>
  <c r="O122" i="13" s="1"/>
  <c r="M124" i="13"/>
  <c r="M122" i="13" s="1"/>
  <c r="P122" i="13" s="1"/>
  <c r="N124" i="13"/>
  <c r="O126" i="13"/>
  <c r="P126" i="13"/>
  <c r="L127" i="13"/>
  <c r="L125" i="13" s="1"/>
  <c r="O125" i="13" s="1"/>
  <c r="M127" i="13"/>
  <c r="M125" i="13" s="1"/>
  <c r="P125" i="13" s="1"/>
  <c r="N127" i="13"/>
  <c r="N125" i="13" s="1"/>
  <c r="J130" i="13"/>
  <c r="L133" i="13"/>
  <c r="O133" i="13" s="1"/>
  <c r="M133" i="13"/>
  <c r="N133" i="13"/>
  <c r="P133" i="13"/>
  <c r="O136" i="13"/>
  <c r="P136" i="13"/>
  <c r="L137" i="13"/>
  <c r="M137" i="13"/>
  <c r="N137" i="13"/>
  <c r="O139" i="13"/>
  <c r="P139" i="13"/>
  <c r="L140" i="13"/>
  <c r="M140" i="13"/>
  <c r="N140" i="13"/>
  <c r="N138" i="13" s="1"/>
  <c r="I144" i="13"/>
  <c r="I145" i="13"/>
  <c r="K145" i="13" s="1"/>
  <c r="I146" i="13"/>
  <c r="K146" i="13" s="1"/>
  <c r="J148" i="13"/>
  <c r="L150" i="13"/>
  <c r="O150" i="13" s="1"/>
  <c r="M150" i="13"/>
  <c r="N150" i="13"/>
  <c r="O153" i="13"/>
  <c r="P153" i="13"/>
  <c r="L154" i="13"/>
  <c r="L152" i="13" s="1"/>
  <c r="O152" i="13" s="1"/>
  <c r="M154" i="13"/>
  <c r="M152" i="13" s="1"/>
  <c r="P152" i="13" s="1"/>
  <c r="N154" i="13"/>
  <c r="N152" i="13" s="1"/>
  <c r="O156" i="13"/>
  <c r="P156" i="13"/>
  <c r="L157" i="13"/>
  <c r="L155" i="13" s="1"/>
  <c r="O155" i="13" s="1"/>
  <c r="M157" i="13"/>
  <c r="M155" i="13" s="1"/>
  <c r="P155" i="13" s="1"/>
  <c r="N157" i="13"/>
  <c r="N155" i="13" s="1"/>
  <c r="I159" i="13"/>
  <c r="K159" i="13" s="1"/>
  <c r="L166" i="13"/>
  <c r="O166" i="13" s="1"/>
  <c r="M166" i="13"/>
  <c r="P166" i="13" s="1"/>
  <c r="N166" i="13"/>
  <c r="O169" i="13"/>
  <c r="P169" i="13"/>
  <c r="L170" i="13"/>
  <c r="L168" i="13" s="1"/>
  <c r="M170" i="13"/>
  <c r="N170" i="13"/>
  <c r="O172" i="13"/>
  <c r="P172" i="13"/>
  <c r="L173" i="13"/>
  <c r="L171" i="13" s="1"/>
  <c r="O171" i="13" s="1"/>
  <c r="M173" i="13"/>
  <c r="P173" i="13" s="1"/>
  <c r="N173" i="13"/>
  <c r="N171" i="13" s="1"/>
  <c r="J174" i="13"/>
  <c r="I176" i="13"/>
  <c r="I174" i="13" s="1"/>
  <c r="I164" i="13" s="1"/>
  <c r="J177" i="13"/>
  <c r="L182" i="13"/>
  <c r="O182" i="13" s="1"/>
  <c r="M182" i="13"/>
  <c r="N182" i="13"/>
  <c r="O185" i="13"/>
  <c r="P185" i="13"/>
  <c r="L186" i="13"/>
  <c r="M186" i="13"/>
  <c r="N186" i="13"/>
  <c r="N184" i="13" s="1"/>
  <c r="O188" i="13"/>
  <c r="P188" i="13"/>
  <c r="L189" i="13"/>
  <c r="L187" i="13" s="1"/>
  <c r="O187" i="13" s="1"/>
  <c r="M189" i="13"/>
  <c r="P189" i="13" s="1"/>
  <c r="N189" i="13"/>
  <c r="N187" i="13" s="1"/>
  <c r="J190" i="13"/>
  <c r="L191" i="13"/>
  <c r="O191" i="13" s="1"/>
  <c r="P191" i="13"/>
  <c r="I193" i="13"/>
  <c r="I190" i="13" s="1"/>
  <c r="J194" i="13"/>
  <c r="J197" i="13"/>
  <c r="N198" i="13"/>
  <c r="P198" i="13"/>
  <c r="L199" i="13"/>
  <c r="L200" i="13"/>
  <c r="L201" i="13"/>
  <c r="L202" i="13"/>
  <c r="I204" i="13"/>
  <c r="K206" i="13"/>
  <c r="K207" i="13"/>
  <c r="J208" i="13"/>
  <c r="N209" i="13"/>
  <c r="P209" i="13"/>
  <c r="L210" i="13"/>
  <c r="L211" i="13"/>
  <c r="L212" i="13"/>
  <c r="I214" i="13"/>
  <c r="K214" i="13" s="1"/>
  <c r="I215" i="13"/>
  <c r="I208" i="13" s="1"/>
  <c r="K208" i="13" s="1"/>
  <c r="J216" i="13"/>
  <c r="N217" i="13"/>
  <c r="P217" i="13"/>
  <c r="L218" i="13"/>
  <c r="L219" i="13"/>
  <c r="L220" i="13"/>
  <c r="I223" i="13"/>
  <c r="K223" i="13" s="1"/>
  <c r="I224" i="13"/>
  <c r="I216" i="13" s="1"/>
  <c r="K216" i="13" s="1"/>
  <c r="I225" i="13"/>
  <c r="N228" i="13"/>
  <c r="N229" i="13"/>
  <c r="N230" i="13"/>
  <c r="N231" i="13"/>
  <c r="J233" i="13"/>
  <c r="I235" i="13"/>
  <c r="K235" i="13" s="1"/>
  <c r="J235" i="13"/>
  <c r="I236" i="13"/>
  <c r="J236" i="13"/>
  <c r="K236" i="13"/>
  <c r="J237" i="13"/>
  <c r="J226" i="13" s="1"/>
  <c r="J180" i="13" s="1"/>
  <c r="N238" i="13"/>
  <c r="P238" i="13"/>
  <c r="L239" i="13"/>
  <c r="L240" i="13"/>
  <c r="L241" i="13"/>
  <c r="L242" i="13"/>
  <c r="I244" i="13"/>
  <c r="K246" i="13"/>
  <c r="K247" i="13"/>
  <c r="J248" i="13"/>
  <c r="N249" i="13"/>
  <c r="P249" i="13"/>
  <c r="L250" i="13"/>
  <c r="L251" i="13"/>
  <c r="L252" i="13"/>
  <c r="L253" i="13"/>
  <c r="I255" i="13"/>
  <c r="K255" i="13" s="1"/>
  <c r="K257" i="13"/>
  <c r="K258" i="13"/>
  <c r="J260" i="13"/>
  <c r="L262" i="13"/>
  <c r="O262" i="13" s="1"/>
  <c r="M262" i="13"/>
  <c r="N262" i="13"/>
  <c r="P262" i="13"/>
  <c r="O265" i="13"/>
  <c r="P265" i="13"/>
  <c r="L266" i="13"/>
  <c r="L264" i="13" s="1"/>
  <c r="M266" i="13"/>
  <c r="N266" i="13"/>
  <c r="O268" i="13"/>
  <c r="P268" i="13"/>
  <c r="L269" i="13"/>
  <c r="L267" i="13" s="1"/>
  <c r="O267" i="13" s="1"/>
  <c r="M269" i="13"/>
  <c r="N269" i="13"/>
  <c r="N267" i="13" s="1"/>
  <c r="I271" i="13"/>
  <c r="K271" i="13" s="1"/>
  <c r="J276" i="13"/>
  <c r="L278" i="13"/>
  <c r="O278" i="13" s="1"/>
  <c r="M278" i="13"/>
  <c r="P278" i="13" s="1"/>
  <c r="N278" i="13"/>
  <c r="O281" i="13"/>
  <c r="P281" i="13"/>
  <c r="L282" i="13"/>
  <c r="L280" i="13" s="1"/>
  <c r="O280" i="13" s="1"/>
  <c r="M282" i="13"/>
  <c r="P282" i="13" s="1"/>
  <c r="N282" i="13"/>
  <c r="N280" i="13" s="1"/>
  <c r="O284" i="13"/>
  <c r="P284" i="13"/>
  <c r="L285" i="13"/>
  <c r="O285" i="13" s="1"/>
  <c r="M285" i="13"/>
  <c r="P285" i="13" s="1"/>
  <c r="N285" i="13"/>
  <c r="N283" i="13" s="1"/>
  <c r="I287" i="13"/>
  <c r="I288" i="13"/>
  <c r="J288" i="13" s="1"/>
  <c r="J275" i="13" s="1"/>
  <c r="I290" i="13"/>
  <c r="K290" i="13" s="1"/>
  <c r="I291" i="13"/>
  <c r="K291" i="13" s="1"/>
  <c r="I293" i="13"/>
  <c r="K293" i="13" s="1"/>
  <c r="I294" i="13"/>
  <c r="K294" i="13" s="1"/>
  <c r="J297" i="13"/>
  <c r="L299" i="13"/>
  <c r="O299" i="13" s="1"/>
  <c r="M299" i="13"/>
  <c r="P299" i="13" s="1"/>
  <c r="N299" i="13"/>
  <c r="O302" i="13"/>
  <c r="P302" i="13"/>
  <c r="L303" i="13"/>
  <c r="L301" i="13" s="1"/>
  <c r="M303" i="13"/>
  <c r="M301" i="13" s="1"/>
  <c r="N303" i="13"/>
  <c r="O305" i="13"/>
  <c r="P305" i="13"/>
  <c r="L306" i="13"/>
  <c r="O306" i="13" s="1"/>
  <c r="M306" i="13"/>
  <c r="M304" i="13" s="1"/>
  <c r="P304" i="13" s="1"/>
  <c r="N306" i="13"/>
  <c r="N304" i="13" s="1"/>
  <c r="I309" i="13"/>
  <c r="K309" i="13" s="1"/>
  <c r="I310" i="13"/>
  <c r="K310" i="13" s="1"/>
  <c r="I311" i="13"/>
  <c r="K311" i="13" s="1"/>
  <c r="I312" i="13"/>
  <c r="K312" i="13" s="1"/>
  <c r="J314" i="13"/>
  <c r="L316" i="13"/>
  <c r="O316" i="13" s="1"/>
  <c r="M316" i="13"/>
  <c r="P316" i="13" s="1"/>
  <c r="N316" i="13"/>
  <c r="O319" i="13"/>
  <c r="P319" i="13"/>
  <c r="L320" i="13"/>
  <c r="M320" i="13"/>
  <c r="M318" i="13" s="1"/>
  <c r="N320" i="13"/>
  <c r="O322" i="13"/>
  <c r="P322" i="13"/>
  <c r="L323" i="13"/>
  <c r="O323" i="13" s="1"/>
  <c r="M323" i="13"/>
  <c r="M321" i="13" s="1"/>
  <c r="N323" i="13"/>
  <c r="I325" i="13"/>
  <c r="I314" i="13" s="1"/>
  <c r="K314" i="13" s="1"/>
  <c r="I327" i="13"/>
  <c r="L329" i="13"/>
  <c r="M329" i="13"/>
  <c r="N329" i="13"/>
  <c r="O332" i="13"/>
  <c r="P332" i="13"/>
  <c r="L333" i="13"/>
  <c r="M333" i="13"/>
  <c r="N333" i="13"/>
  <c r="O335" i="13"/>
  <c r="P335" i="13"/>
  <c r="L336" i="13"/>
  <c r="M336" i="13"/>
  <c r="P336" i="13" s="1"/>
  <c r="N336" i="13"/>
  <c r="N334" i="13" s="1"/>
  <c r="D337" i="13"/>
  <c r="I338" i="13"/>
  <c r="J338" i="13"/>
  <c r="I340" i="13"/>
  <c r="J340" i="13"/>
  <c r="J341" i="13"/>
  <c r="J342" i="13"/>
  <c r="J343" i="13"/>
  <c r="L346" i="13"/>
  <c r="M346" i="13"/>
  <c r="P346" i="13" s="1"/>
  <c r="N346" i="13"/>
  <c r="O349" i="13"/>
  <c r="P349" i="13"/>
  <c r="L350" i="13"/>
  <c r="M350" i="13"/>
  <c r="M348" i="13" s="1"/>
  <c r="N350" i="13"/>
  <c r="N348" i="13" s="1"/>
  <c r="O352" i="13"/>
  <c r="P352" i="13"/>
  <c r="L353" i="13"/>
  <c r="L351" i="13" s="1"/>
  <c r="M353" i="13"/>
  <c r="N353" i="13"/>
  <c r="N351" i="13" s="1"/>
  <c r="I355" i="13"/>
  <c r="J358" i="13"/>
  <c r="K358" i="13"/>
  <c r="I359" i="13"/>
  <c r="J359" i="13"/>
  <c r="I360" i="13"/>
  <c r="J360" i="13"/>
  <c r="J361" i="13"/>
  <c r="K361" i="13"/>
  <c r="I362" i="13"/>
  <c r="J362" i="13"/>
  <c r="J355" i="13" s="1"/>
  <c r="J363" i="13"/>
  <c r="K363" i="13"/>
  <c r="I365" i="13"/>
  <c r="J368" i="13"/>
  <c r="K368" i="13"/>
  <c r="I369" i="13"/>
  <c r="J369" i="13"/>
  <c r="I370" i="13"/>
  <c r="J370" i="13"/>
  <c r="J371" i="13"/>
  <c r="K371" i="13"/>
  <c r="I372" i="13"/>
  <c r="J372" i="13"/>
  <c r="J365" i="13" s="1"/>
  <c r="A373" i="13"/>
  <c r="J373" i="13"/>
  <c r="K373" i="13"/>
  <c r="I374" i="13"/>
  <c r="J377" i="13"/>
  <c r="K377" i="13"/>
  <c r="I378" i="13"/>
  <c r="J378" i="13"/>
  <c r="I379" i="13"/>
  <c r="J379" i="13"/>
  <c r="J380" i="13"/>
  <c r="K380" i="13"/>
  <c r="I381" i="13"/>
  <c r="J381" i="13"/>
  <c r="J374" i="13" s="1"/>
  <c r="A382" i="13"/>
  <c r="J382" i="13"/>
  <c r="K382" i="13"/>
  <c r="D384" i="13"/>
  <c r="I385" i="13"/>
  <c r="J385" i="13"/>
  <c r="I388" i="13"/>
  <c r="K388" i="13" s="1"/>
  <c r="J388" i="13"/>
  <c r="L390" i="13"/>
  <c r="M390" i="13"/>
  <c r="N390" i="13"/>
  <c r="O390" i="13"/>
  <c r="O393" i="13"/>
  <c r="P393" i="13"/>
  <c r="L394" i="13"/>
  <c r="L392" i="13" s="1"/>
  <c r="O392" i="13" s="1"/>
  <c r="M394" i="13"/>
  <c r="M392" i="13" s="1"/>
  <c r="P392" i="13" s="1"/>
  <c r="N394" i="13"/>
  <c r="N392" i="13" s="1"/>
  <c r="O396" i="13"/>
  <c r="P396" i="13"/>
  <c r="L397" i="13"/>
  <c r="O397" i="13" s="1"/>
  <c r="M397" i="13"/>
  <c r="M395" i="13" s="1"/>
  <c r="P395" i="13" s="1"/>
  <c r="N397" i="13"/>
  <c r="N395" i="13" s="1"/>
  <c r="K399" i="13"/>
  <c r="K400" i="13"/>
  <c r="I401" i="13"/>
  <c r="K401" i="13" s="1"/>
  <c r="J401" i="13"/>
  <c r="L403" i="13"/>
  <c r="O403" i="13" s="1"/>
  <c r="M403" i="13"/>
  <c r="P403" i="13" s="1"/>
  <c r="N403" i="13"/>
  <c r="O406" i="13"/>
  <c r="P406" i="13"/>
  <c r="L407" i="13"/>
  <c r="L405" i="13" s="1"/>
  <c r="O405" i="13" s="1"/>
  <c r="M407" i="13"/>
  <c r="N407" i="13"/>
  <c r="N405" i="13" s="1"/>
  <c r="O409" i="13"/>
  <c r="P409" i="13"/>
  <c r="L410" i="13"/>
  <c r="L408" i="13" s="1"/>
  <c r="O408" i="13" s="1"/>
  <c r="M410" i="13"/>
  <c r="P410" i="13" s="1"/>
  <c r="N410" i="13"/>
  <c r="N408" i="13" s="1"/>
  <c r="K412" i="13"/>
  <c r="K413" i="13"/>
  <c r="L420" i="13"/>
  <c r="O420" i="13" s="1"/>
  <c r="M420" i="13"/>
  <c r="N420" i="13"/>
  <c r="P420" i="13"/>
  <c r="O423" i="13"/>
  <c r="P423" i="13"/>
  <c r="L424" i="13"/>
  <c r="M424" i="13" s="1"/>
  <c r="N424" i="13"/>
  <c r="M429" i="13"/>
  <c r="N429" i="13"/>
  <c r="P429" i="13"/>
  <c r="O430" i="13"/>
  <c r="P430" i="13"/>
  <c r="L431" i="13"/>
  <c r="L429" i="13" s="1"/>
  <c r="O429" i="13" s="1"/>
  <c r="P431" i="13"/>
  <c r="J434" i="13"/>
  <c r="J418" i="13" s="1"/>
  <c r="I435" i="13"/>
  <c r="I433" i="13" s="1"/>
  <c r="I437" i="13"/>
  <c r="K437" i="13" s="1"/>
  <c r="I438" i="13"/>
  <c r="K438" i="13" s="1"/>
  <c r="I439" i="13"/>
  <c r="K439" i="13" s="1"/>
  <c r="I440" i="13"/>
  <c r="K440" i="13" s="1"/>
  <c r="I441" i="13"/>
  <c r="K441" i="13" s="1"/>
  <c r="J442" i="13"/>
  <c r="J443" i="13"/>
  <c r="L445" i="13"/>
  <c r="M445" i="13"/>
  <c r="N445" i="13"/>
  <c r="N447" i="13"/>
  <c r="O448" i="13"/>
  <c r="P448" i="13"/>
  <c r="L449" i="13"/>
  <c r="L447" i="13" s="1"/>
  <c r="N449" i="13"/>
  <c r="M454" i="13"/>
  <c r="P454" i="13" s="1"/>
  <c r="N454" i="13"/>
  <c r="O455" i="13"/>
  <c r="P455" i="13"/>
  <c r="L456" i="13"/>
  <c r="L454" i="13" s="1"/>
  <c r="O454" i="13" s="1"/>
  <c r="P456" i="13"/>
  <c r="K458" i="13"/>
  <c r="I460" i="13"/>
  <c r="K460" i="13" s="1"/>
  <c r="I462" i="13"/>
  <c r="I443" i="13" s="1"/>
  <c r="K443" i="13" s="1"/>
  <c r="I463" i="13"/>
  <c r="I464" i="13"/>
  <c r="I465" i="13"/>
  <c r="J465" i="13"/>
  <c r="I466" i="13"/>
  <c r="K466" i="13" s="1"/>
  <c r="J466" i="13"/>
  <c r="L468" i="13"/>
  <c r="O468" i="13" s="1"/>
  <c r="M468" i="13"/>
  <c r="N468" i="13"/>
  <c r="O471" i="13"/>
  <c r="P471" i="13"/>
  <c r="L472" i="13"/>
  <c r="O472" i="13" s="1"/>
  <c r="N472" i="13"/>
  <c r="N470" i="13" s="1"/>
  <c r="M477" i="13"/>
  <c r="P477" i="13" s="1"/>
  <c r="N477" i="13"/>
  <c r="O478" i="13"/>
  <c r="P478" i="13"/>
  <c r="L479" i="13"/>
  <c r="L477" i="13" s="1"/>
  <c r="O477" i="13" s="1"/>
  <c r="P479" i="13"/>
  <c r="I483" i="13"/>
  <c r="K483" i="13" s="1"/>
  <c r="I485" i="13"/>
  <c r="K485" i="13" s="1"/>
  <c r="I487" i="13"/>
  <c r="K487" i="13" s="1"/>
  <c r="I489" i="13"/>
  <c r="K489" i="13" s="1"/>
  <c r="I492" i="13"/>
  <c r="K492" i="13" s="1"/>
  <c r="I495" i="13"/>
  <c r="K495" i="13" s="1"/>
  <c r="I498" i="13"/>
  <c r="K498" i="13" s="1"/>
  <c r="J500" i="13"/>
  <c r="K500" i="13"/>
  <c r="K501" i="13"/>
  <c r="L503" i="13"/>
  <c r="O503" i="13" s="1"/>
  <c r="M503" i="13"/>
  <c r="P503" i="13" s="1"/>
  <c r="N503" i="13"/>
  <c r="N502" i="13" s="1"/>
  <c r="L504" i="13"/>
  <c r="O504" i="13" s="1"/>
  <c r="M504" i="13"/>
  <c r="M502" i="13" s="1"/>
  <c r="P502" i="13" s="1"/>
  <c r="L505" i="13"/>
  <c r="O505" i="13" s="1"/>
  <c r="M505" i="13"/>
  <c r="P505" i="13" s="1"/>
  <c r="O506" i="13"/>
  <c r="P506" i="13"/>
  <c r="N507" i="13"/>
  <c r="N504" i="13" s="1"/>
  <c r="O507" i="13"/>
  <c r="P507" i="13"/>
  <c r="L512" i="13"/>
  <c r="M512" i="13"/>
  <c r="P512" i="13" s="1"/>
  <c r="N512" i="13"/>
  <c r="O512" i="13"/>
  <c r="O513" i="13"/>
  <c r="P513" i="13"/>
  <c r="O514" i="13"/>
  <c r="P514" i="13"/>
  <c r="K516" i="13"/>
  <c r="J517" i="13"/>
  <c r="J501" i="13" s="1"/>
  <c r="K517" i="13"/>
  <c r="L524" i="13"/>
  <c r="O524" i="13" s="1"/>
  <c r="M524" i="13"/>
  <c r="N524" i="13"/>
  <c r="N526" i="13"/>
  <c r="O527" i="13"/>
  <c r="P527" i="13"/>
  <c r="L528" i="13"/>
  <c r="N528" i="13"/>
  <c r="N525" i="13" s="1"/>
  <c r="M533" i="13"/>
  <c r="N533" i="13"/>
  <c r="P533" i="13"/>
  <c r="O534" i="13"/>
  <c r="P534" i="13"/>
  <c r="L535" i="13"/>
  <c r="L533" i="13" s="1"/>
  <c r="O533" i="13" s="1"/>
  <c r="P535" i="13"/>
  <c r="I537" i="13"/>
  <c r="I538" i="13"/>
  <c r="K538" i="13" s="1"/>
  <c r="I539" i="13"/>
  <c r="K539" i="13" s="1"/>
  <c r="I540" i="13"/>
  <c r="K540" i="13" s="1"/>
  <c r="I541" i="13"/>
  <c r="K541" i="13" s="1"/>
  <c r="I542" i="13"/>
  <c r="K542" i="13" s="1"/>
  <c r="L545" i="13"/>
  <c r="M545" i="13"/>
  <c r="N545" i="13"/>
  <c r="O548" i="13"/>
  <c r="P548" i="13"/>
  <c r="L549" i="13"/>
  <c r="L547" i="13" s="1"/>
  <c r="N549" i="13"/>
  <c r="N546" i="13" s="1"/>
  <c r="M555" i="13"/>
  <c r="P555" i="13" s="1"/>
  <c r="N555" i="13"/>
  <c r="O556" i="13"/>
  <c r="P556" i="13"/>
  <c r="L557" i="13"/>
  <c r="L555" i="13" s="1"/>
  <c r="O555" i="13" s="1"/>
  <c r="P557" i="13"/>
  <c r="I560" i="13"/>
  <c r="K560" i="13" s="1"/>
  <c r="J560" i="13"/>
  <c r="I561" i="13"/>
  <c r="J561" i="13"/>
  <c r="I568" i="13"/>
  <c r="J568" i="13"/>
  <c r="I569" i="13"/>
  <c r="K569" i="13" s="1"/>
  <c r="J569" i="13"/>
  <c r="I576" i="13"/>
  <c r="I559" i="13" s="1"/>
  <c r="J576" i="13"/>
  <c r="J559" i="13" s="1"/>
  <c r="J543" i="13" s="1"/>
  <c r="I577" i="13"/>
  <c r="J577" i="13"/>
  <c r="J582" i="13"/>
  <c r="J583" i="13"/>
  <c r="I593" i="13"/>
  <c r="I592" i="13" s="1"/>
  <c r="I594" i="13"/>
  <c r="J595" i="13"/>
  <c r="J596" i="13"/>
  <c r="J603" i="13"/>
  <c r="J593" i="13" s="1"/>
  <c r="J604" i="13"/>
  <c r="J594" i="13" s="1"/>
  <c r="J611" i="13"/>
  <c r="K611" i="13"/>
  <c r="J612" i="13"/>
  <c r="K612" i="13"/>
  <c r="J613" i="13"/>
  <c r="K613" i="13"/>
  <c r="I620" i="13"/>
  <c r="J620" i="13"/>
  <c r="I621" i="13"/>
  <c r="K621" i="13" s="1"/>
  <c r="J621" i="13"/>
  <c r="L630" i="13"/>
  <c r="M630" i="13"/>
  <c r="N630" i="13"/>
  <c r="N632" i="13"/>
  <c r="O633" i="13"/>
  <c r="P633" i="13"/>
  <c r="L634" i="13"/>
  <c r="O634" i="13" s="1"/>
  <c r="N634" i="13"/>
  <c r="N631" i="13" s="1"/>
  <c r="M639" i="13"/>
  <c r="P639" i="13" s="1"/>
  <c r="N639" i="13"/>
  <c r="O640" i="13"/>
  <c r="P640" i="13"/>
  <c r="L641" i="13"/>
  <c r="L639" i="13" s="1"/>
  <c r="O639" i="13" s="1"/>
  <c r="P641" i="13"/>
  <c r="I643" i="13"/>
  <c r="K643" i="13" s="1"/>
  <c r="I644" i="13"/>
  <c r="K644" i="13" s="1"/>
  <c r="J645" i="13"/>
  <c r="K645" i="13"/>
  <c r="J646" i="13"/>
  <c r="K646" i="13"/>
  <c r="I647" i="13"/>
  <c r="J647" i="13"/>
  <c r="J648" i="13"/>
  <c r="K648" i="13"/>
  <c r="I649" i="13"/>
  <c r="J649" i="13"/>
  <c r="J650" i="13"/>
  <c r="K650" i="13"/>
  <c r="I651" i="13"/>
  <c r="J651" i="13"/>
  <c r="J628" i="13" s="1"/>
  <c r="A652" i="13"/>
  <c r="J652" i="13"/>
  <c r="K652" i="13"/>
  <c r="L656" i="13"/>
  <c r="M656" i="13"/>
  <c r="P656" i="13" s="1"/>
  <c r="N656" i="13"/>
  <c r="O656" i="13"/>
  <c r="O659" i="13"/>
  <c r="P659" i="13"/>
  <c r="L660" i="13"/>
  <c r="L657" i="13" s="1"/>
  <c r="L655" i="13" s="1"/>
  <c r="N660" i="13"/>
  <c r="L665" i="13"/>
  <c r="M665" i="13"/>
  <c r="N665" i="13"/>
  <c r="O665" i="13"/>
  <c r="P665" i="13"/>
  <c r="O666" i="13"/>
  <c r="P666" i="13"/>
  <c r="O667" i="13"/>
  <c r="P667" i="13"/>
  <c r="I669" i="13"/>
  <c r="K672" i="13" s="1"/>
  <c r="I670" i="13"/>
  <c r="K670" i="13" s="1"/>
  <c r="I671" i="13"/>
  <c r="K671" i="13" s="1"/>
  <c r="J675" i="13"/>
  <c r="J669" i="13" s="1"/>
  <c r="J654" i="13" s="1"/>
  <c r="I678" i="13"/>
  <c r="K678" i="13" s="1"/>
  <c r="J678" i="13"/>
  <c r="J679" i="13"/>
  <c r="L686" i="13"/>
  <c r="M686" i="13"/>
  <c r="P686" i="13" s="1"/>
  <c r="N686" i="13"/>
  <c r="O686" i="13"/>
  <c r="M687" i="13"/>
  <c r="P687" i="13" s="1"/>
  <c r="M688" i="13"/>
  <c r="P688" i="13" s="1"/>
  <c r="L690" i="13"/>
  <c r="L687" i="13" s="1"/>
  <c r="O687" i="13" s="1"/>
  <c r="N690" i="13"/>
  <c r="P690" i="13"/>
  <c r="L695" i="13"/>
  <c r="M695" i="13"/>
  <c r="P695" i="13" s="1"/>
  <c r="N695" i="13"/>
  <c r="O695" i="13"/>
  <c r="O696" i="13"/>
  <c r="P696" i="13"/>
  <c r="O697" i="13"/>
  <c r="P697" i="13"/>
  <c r="I699" i="13"/>
  <c r="K699" i="13" s="1"/>
  <c r="J699" i="13"/>
  <c r="I700" i="13"/>
  <c r="K700" i="13" s="1"/>
  <c r="J700" i="13"/>
  <c r="I701" i="13"/>
  <c r="K701" i="13" s="1"/>
  <c r="J701" i="13"/>
  <c r="I704" i="13"/>
  <c r="I707" i="13"/>
  <c r="I708" i="13"/>
  <c r="K708" i="13" s="1"/>
  <c r="J708" i="13"/>
  <c r="J718" i="13"/>
  <c r="J719" i="13"/>
  <c r="I720" i="13"/>
  <c r="K720" i="13" s="1"/>
  <c r="J720" i="13"/>
  <c r="I721" i="13"/>
  <c r="K721" i="13" s="1"/>
  <c r="I722" i="13"/>
  <c r="K722" i="13" s="1"/>
  <c r="I723" i="13"/>
  <c r="K723" i="13" s="1"/>
  <c r="J723" i="13"/>
  <c r="J724" i="13"/>
  <c r="I725" i="13"/>
  <c r="K725" i="13" s="1"/>
  <c r="J725" i="13"/>
  <c r="I726" i="13"/>
  <c r="K726" i="13" s="1"/>
  <c r="J726" i="13"/>
  <c r="J727" i="13"/>
  <c r="I728" i="13"/>
  <c r="K728" i="13" s="1"/>
  <c r="J728" i="13"/>
  <c r="I729" i="13"/>
  <c r="K729" i="13" s="1"/>
  <c r="J729" i="13"/>
  <c r="J736" i="13"/>
  <c r="K736" i="13"/>
  <c r="L738" i="13"/>
  <c r="L737" i="13" s="1"/>
  <c r="O737" i="13" s="1"/>
  <c r="M738" i="13"/>
  <c r="P738" i="13" s="1"/>
  <c r="N738" i="13"/>
  <c r="L739" i="13"/>
  <c r="O739" i="13" s="1"/>
  <c r="M739" i="13"/>
  <c r="P739" i="13" s="1"/>
  <c r="L740" i="13"/>
  <c r="O740" i="13" s="1"/>
  <c r="M740" i="13"/>
  <c r="P740" i="13" s="1"/>
  <c r="O741" i="13"/>
  <c r="P741" i="13"/>
  <c r="N742" i="13"/>
  <c r="O742" i="13"/>
  <c r="P742" i="13"/>
  <c r="L747" i="13"/>
  <c r="O747" i="13" s="1"/>
  <c r="M747" i="13"/>
  <c r="N747" i="13"/>
  <c r="P747" i="13"/>
  <c r="O748" i="13"/>
  <c r="P748" i="13"/>
  <c r="O749" i="13"/>
  <c r="P749" i="13"/>
  <c r="J753" i="13"/>
  <c r="K753" i="13"/>
  <c r="L755" i="13"/>
  <c r="M755" i="13"/>
  <c r="P755" i="13" s="1"/>
  <c r="N755" i="13"/>
  <c r="L756" i="13"/>
  <c r="O756" i="13" s="1"/>
  <c r="M756" i="13"/>
  <c r="P756" i="13" s="1"/>
  <c r="L757" i="13"/>
  <c r="O757" i="13" s="1"/>
  <c r="M757" i="13"/>
  <c r="P757" i="13" s="1"/>
  <c r="O758" i="13"/>
  <c r="P758" i="13"/>
  <c r="N759" i="13"/>
  <c r="O759" i="13"/>
  <c r="P759" i="13"/>
  <c r="L764" i="13"/>
  <c r="M764" i="13"/>
  <c r="N764" i="13"/>
  <c r="O764" i="13"/>
  <c r="P764" i="13"/>
  <c r="O765" i="13"/>
  <c r="P765" i="13"/>
  <c r="O766" i="13"/>
  <c r="P766" i="13"/>
  <c r="J769" i="13"/>
  <c r="K769" i="13"/>
  <c r="L771" i="13"/>
  <c r="M771" i="13"/>
  <c r="N771" i="13"/>
  <c r="P771" i="13"/>
  <c r="L772" i="13"/>
  <c r="O772" i="13" s="1"/>
  <c r="M772" i="13"/>
  <c r="P772" i="13" s="1"/>
  <c r="L773" i="13"/>
  <c r="O773" i="13" s="1"/>
  <c r="M773" i="13"/>
  <c r="P773" i="13" s="1"/>
  <c r="O774" i="13"/>
  <c r="P774" i="13"/>
  <c r="N775" i="13"/>
  <c r="O775" i="13"/>
  <c r="P775" i="13"/>
  <c r="L780" i="13"/>
  <c r="M780" i="13"/>
  <c r="N780" i="13"/>
  <c r="O780" i="13"/>
  <c r="P780" i="13"/>
  <c r="O781" i="13"/>
  <c r="P781" i="13"/>
  <c r="O782" i="13"/>
  <c r="P782" i="13"/>
  <c r="L787" i="13"/>
  <c r="M787" i="13"/>
  <c r="N787" i="13"/>
  <c r="O787" i="13"/>
  <c r="P787" i="13"/>
  <c r="M788" i="13"/>
  <c r="M786" i="13" s="1"/>
  <c r="P786" i="13" s="1"/>
  <c r="M789" i="13"/>
  <c r="P789" i="13" s="1"/>
  <c r="O790" i="13"/>
  <c r="P790" i="13"/>
  <c r="L791" i="13"/>
  <c r="L788" i="13" s="1"/>
  <c r="O788" i="13" s="1"/>
  <c r="N791" i="13"/>
  <c r="N789" i="13" s="1"/>
  <c r="P791" i="13"/>
  <c r="L796" i="13"/>
  <c r="O796" i="13" s="1"/>
  <c r="M796" i="13"/>
  <c r="P796" i="13" s="1"/>
  <c r="N796" i="13"/>
  <c r="O797" i="13"/>
  <c r="P797" i="13"/>
  <c r="O798" i="13"/>
  <c r="P798" i="13"/>
  <c r="I800" i="13"/>
  <c r="K800" i="13" s="1"/>
  <c r="J800" i="13"/>
  <c r="J785" i="13" s="1"/>
  <c r="J801" i="13"/>
  <c r="K802" i="13"/>
  <c r="J804" i="13"/>
  <c r="K804" i="13"/>
  <c r="L806" i="13"/>
  <c r="L805" i="13" s="1"/>
  <c r="O805" i="13" s="1"/>
  <c r="M806" i="13"/>
  <c r="P806" i="13" s="1"/>
  <c r="N806" i="13"/>
  <c r="L807" i="13"/>
  <c r="O807" i="13" s="1"/>
  <c r="M807" i="13"/>
  <c r="M805" i="13" s="1"/>
  <c r="P805" i="13" s="1"/>
  <c r="L808" i="13"/>
  <c r="O808" i="13" s="1"/>
  <c r="M808" i="13"/>
  <c r="P808" i="13" s="1"/>
  <c r="O809" i="13"/>
  <c r="P809" i="13"/>
  <c r="N810" i="13"/>
  <c r="N808" i="13" s="1"/>
  <c r="O810" i="13"/>
  <c r="P810" i="13"/>
  <c r="L815" i="13"/>
  <c r="M815" i="13"/>
  <c r="P815" i="13" s="1"/>
  <c r="N815" i="13"/>
  <c r="O815" i="13"/>
  <c r="O816" i="13"/>
  <c r="P816" i="13"/>
  <c r="O817" i="13"/>
  <c r="P817" i="13"/>
  <c r="H820" i="13"/>
  <c r="I821" i="13"/>
  <c r="J821" i="13"/>
  <c r="I822" i="13"/>
  <c r="J822" i="13"/>
  <c r="I823" i="13"/>
  <c r="J823" i="13"/>
  <c r="I824" i="13"/>
  <c r="J824" i="13"/>
  <c r="I825" i="13"/>
  <c r="K825" i="13" s="1"/>
  <c r="J825" i="13"/>
  <c r="I826" i="13"/>
  <c r="K826" i="13" s="1"/>
  <c r="J826" i="13"/>
  <c r="I827" i="13"/>
  <c r="J827" i="13"/>
  <c r="I828" i="13"/>
  <c r="J828" i="13"/>
  <c r="L22" i="12"/>
  <c r="M22" i="12"/>
  <c r="P22" i="12" s="1"/>
  <c r="N22" i="12"/>
  <c r="L25" i="12"/>
  <c r="M25" i="12"/>
  <c r="M15" i="12" s="1"/>
  <c r="N25" i="12"/>
  <c r="O25" i="12"/>
  <c r="L32" i="12"/>
  <c r="M32" i="12"/>
  <c r="N32" i="12"/>
  <c r="O32" i="12"/>
  <c r="L35" i="12"/>
  <c r="M35" i="12"/>
  <c r="P35" i="12" s="1"/>
  <c r="N35" i="12"/>
  <c r="N15" i="12" s="1"/>
  <c r="M36" i="12"/>
  <c r="N36" i="12"/>
  <c r="L42" i="12"/>
  <c r="O42" i="12" s="1"/>
  <c r="M42" i="12"/>
  <c r="P42" i="12" s="1"/>
  <c r="N42" i="12"/>
  <c r="O45" i="12"/>
  <c r="P45" i="12"/>
  <c r="L46" i="12"/>
  <c r="L44" i="12" s="1"/>
  <c r="M46" i="12"/>
  <c r="N46" i="12"/>
  <c r="N44" i="12" s="1"/>
  <c r="O48" i="12"/>
  <c r="P48" i="12"/>
  <c r="L49" i="12"/>
  <c r="L47" i="12" s="1"/>
  <c r="O47" i="12" s="1"/>
  <c r="M49" i="12"/>
  <c r="N49" i="12"/>
  <c r="L54" i="12"/>
  <c r="M54" i="12"/>
  <c r="N54" i="12"/>
  <c r="O54" i="12"/>
  <c r="O57" i="12"/>
  <c r="P57" i="12"/>
  <c r="L58" i="12"/>
  <c r="L56" i="12" s="1"/>
  <c r="M58" i="12"/>
  <c r="N58" i="12"/>
  <c r="O60" i="12"/>
  <c r="P60" i="12"/>
  <c r="L61" i="12"/>
  <c r="M61" i="12"/>
  <c r="M59" i="12" s="1"/>
  <c r="N61" i="12"/>
  <c r="N59" i="12" s="1"/>
  <c r="L67" i="12"/>
  <c r="M67" i="12"/>
  <c r="N67" i="12"/>
  <c r="O70" i="12"/>
  <c r="P70" i="12"/>
  <c r="L71" i="12"/>
  <c r="L69" i="12" s="1"/>
  <c r="O69" i="12" s="1"/>
  <c r="M71" i="12"/>
  <c r="N71" i="12"/>
  <c r="N69" i="12" s="1"/>
  <c r="O73" i="12"/>
  <c r="P73" i="12"/>
  <c r="L74" i="12"/>
  <c r="L72" i="12" s="1"/>
  <c r="O72" i="12" s="1"/>
  <c r="M74" i="12"/>
  <c r="N74" i="12"/>
  <c r="N72" i="12" s="1"/>
  <c r="J76" i="12"/>
  <c r="J64" i="12" s="1"/>
  <c r="J77" i="12"/>
  <c r="J65" i="12" s="1"/>
  <c r="I78" i="12"/>
  <c r="K78" i="12" s="1"/>
  <c r="I79" i="12"/>
  <c r="K79" i="12" s="1"/>
  <c r="I80" i="12"/>
  <c r="K80" i="12" s="1"/>
  <c r="I81" i="12"/>
  <c r="K81" i="12" s="1"/>
  <c r="I82" i="12"/>
  <c r="I83" i="12"/>
  <c r="K83" i="12" s="1"/>
  <c r="I84" i="12"/>
  <c r="K84" i="12" s="1"/>
  <c r="L89" i="12"/>
  <c r="M89" i="12"/>
  <c r="P89" i="12" s="1"/>
  <c r="N89" i="12"/>
  <c r="O89" i="12"/>
  <c r="O92" i="12"/>
  <c r="P92" i="12"/>
  <c r="L93" i="12"/>
  <c r="L91" i="12" s="1"/>
  <c r="M93" i="12"/>
  <c r="N93" i="12"/>
  <c r="O95" i="12"/>
  <c r="P95" i="12"/>
  <c r="L96" i="12"/>
  <c r="M96" i="12"/>
  <c r="M94" i="12" s="1"/>
  <c r="P94" i="12" s="1"/>
  <c r="N96" i="12"/>
  <c r="N94" i="12" s="1"/>
  <c r="I98" i="12"/>
  <c r="I86" i="12" s="1"/>
  <c r="J98" i="12"/>
  <c r="I99" i="12"/>
  <c r="J99" i="12"/>
  <c r="J87" i="12" s="1"/>
  <c r="I100" i="12"/>
  <c r="J100" i="12"/>
  <c r="I102" i="12"/>
  <c r="K102" i="12" s="1"/>
  <c r="I103" i="12"/>
  <c r="K103" i="12" s="1"/>
  <c r="I104" i="12"/>
  <c r="K104" i="12" s="1"/>
  <c r="I106" i="12"/>
  <c r="K106" i="12" s="1"/>
  <c r="I107" i="12"/>
  <c r="K107" i="12" s="1"/>
  <c r="I109" i="12"/>
  <c r="K109" i="12" s="1"/>
  <c r="I110" i="12"/>
  <c r="K110" i="12" s="1"/>
  <c r="I111" i="12"/>
  <c r="K111" i="12" s="1"/>
  <c r="J111" i="12"/>
  <c r="J112" i="12"/>
  <c r="I113" i="12"/>
  <c r="K113" i="12" s="1"/>
  <c r="I114" i="12"/>
  <c r="K114" i="12" s="1"/>
  <c r="I115" i="12"/>
  <c r="K115" i="12" s="1"/>
  <c r="I116" i="12"/>
  <c r="K116" i="12" s="1"/>
  <c r="L120" i="12"/>
  <c r="M120" i="12"/>
  <c r="N120" i="12"/>
  <c r="O120" i="12"/>
  <c r="O123" i="12"/>
  <c r="P123" i="12"/>
  <c r="L124" i="12"/>
  <c r="M124" i="12"/>
  <c r="N124" i="12"/>
  <c r="N122" i="12" s="1"/>
  <c r="O126" i="12"/>
  <c r="P126" i="12"/>
  <c r="L127" i="12"/>
  <c r="O127" i="12" s="1"/>
  <c r="M127" i="12"/>
  <c r="M125" i="12" s="1"/>
  <c r="P125" i="12" s="1"/>
  <c r="N127" i="12"/>
  <c r="N125" i="12" s="1"/>
  <c r="J130" i="12"/>
  <c r="L133" i="12"/>
  <c r="M133" i="12"/>
  <c r="N133" i="12"/>
  <c r="P133" i="12"/>
  <c r="O136" i="12"/>
  <c r="P136" i="12"/>
  <c r="L137" i="12"/>
  <c r="O137" i="12" s="1"/>
  <c r="M137" i="12"/>
  <c r="P137" i="12" s="1"/>
  <c r="N137" i="12"/>
  <c r="N135" i="12" s="1"/>
  <c r="O139" i="12"/>
  <c r="P139" i="12"/>
  <c r="L140" i="12"/>
  <c r="L138" i="12" s="1"/>
  <c r="O138" i="12" s="1"/>
  <c r="M140" i="12"/>
  <c r="N140" i="12"/>
  <c r="N138" i="12" s="1"/>
  <c r="I144" i="12"/>
  <c r="I145" i="12"/>
  <c r="K145" i="12" s="1"/>
  <c r="I146" i="12"/>
  <c r="K146" i="12" s="1"/>
  <c r="J148" i="12"/>
  <c r="L150" i="12"/>
  <c r="O150" i="12" s="1"/>
  <c r="M150" i="12"/>
  <c r="P150" i="12" s="1"/>
  <c r="N150" i="12"/>
  <c r="O153" i="12"/>
  <c r="P153" i="12"/>
  <c r="L154" i="12"/>
  <c r="L152" i="12" s="1"/>
  <c r="O152" i="12" s="1"/>
  <c r="M154" i="12"/>
  <c r="M152" i="12" s="1"/>
  <c r="P152" i="12" s="1"/>
  <c r="N154" i="12"/>
  <c r="O156" i="12"/>
  <c r="P156" i="12"/>
  <c r="L157" i="12"/>
  <c r="O157" i="12" s="1"/>
  <c r="M157" i="12"/>
  <c r="M155" i="12" s="1"/>
  <c r="P155" i="12" s="1"/>
  <c r="N157" i="12"/>
  <c r="N155" i="12" s="1"/>
  <c r="I159" i="12"/>
  <c r="I148" i="12" s="1"/>
  <c r="K148" i="12" s="1"/>
  <c r="L166" i="12"/>
  <c r="M166" i="12"/>
  <c r="N166" i="12"/>
  <c r="O166" i="12"/>
  <c r="O169" i="12"/>
  <c r="P169" i="12"/>
  <c r="L170" i="12"/>
  <c r="L168" i="12" s="1"/>
  <c r="M170" i="12"/>
  <c r="N170" i="12"/>
  <c r="O172" i="12"/>
  <c r="P172" i="12"/>
  <c r="L173" i="12"/>
  <c r="L171" i="12" s="1"/>
  <c r="O171" i="12" s="1"/>
  <c r="M173" i="12"/>
  <c r="P173" i="12" s="1"/>
  <c r="N173" i="12"/>
  <c r="N171" i="12" s="1"/>
  <c r="J174" i="12"/>
  <c r="I176" i="12"/>
  <c r="I174" i="12" s="1"/>
  <c r="I164" i="12" s="1"/>
  <c r="J177" i="12"/>
  <c r="L182" i="12"/>
  <c r="M182" i="12"/>
  <c r="N182" i="12"/>
  <c r="O182" i="12"/>
  <c r="O185" i="12"/>
  <c r="P185" i="12"/>
  <c r="L186" i="12"/>
  <c r="L184" i="12" s="1"/>
  <c r="M186" i="12"/>
  <c r="M184" i="12" s="1"/>
  <c r="N186" i="12"/>
  <c r="O188" i="12"/>
  <c r="P188" i="12"/>
  <c r="L189" i="12"/>
  <c r="M189" i="12"/>
  <c r="P189" i="12" s="1"/>
  <c r="N189" i="12"/>
  <c r="N187" i="12" s="1"/>
  <c r="J190" i="12"/>
  <c r="L191" i="12"/>
  <c r="O191" i="12" s="1"/>
  <c r="P191" i="12"/>
  <c r="I193" i="12"/>
  <c r="I190" i="12" s="1"/>
  <c r="J194" i="12"/>
  <c r="J197" i="12"/>
  <c r="N198" i="12"/>
  <c r="P198" i="12"/>
  <c r="L199" i="12"/>
  <c r="L200" i="12"/>
  <c r="L201" i="12"/>
  <c r="L202" i="12"/>
  <c r="I204" i="12"/>
  <c r="I197" i="12" s="1"/>
  <c r="K206" i="12"/>
  <c r="K207" i="12"/>
  <c r="J208" i="12"/>
  <c r="N209" i="12"/>
  <c r="P209" i="12"/>
  <c r="L210" i="12"/>
  <c r="L211" i="12"/>
  <c r="L212" i="12"/>
  <c r="I214" i="12"/>
  <c r="K214" i="12" s="1"/>
  <c r="I215" i="12"/>
  <c r="I208" i="12" s="1"/>
  <c r="K208" i="12" s="1"/>
  <c r="J216" i="12"/>
  <c r="N217" i="12"/>
  <c r="P217" i="12"/>
  <c r="L218" i="12"/>
  <c r="L219" i="12"/>
  <c r="L220" i="12"/>
  <c r="I223" i="12"/>
  <c r="K223" i="12" s="1"/>
  <c r="I224" i="12"/>
  <c r="I216" i="12" s="1"/>
  <c r="K216" i="12" s="1"/>
  <c r="I225" i="12"/>
  <c r="J226" i="12"/>
  <c r="J180" i="12" s="1"/>
  <c r="N228" i="12"/>
  <c r="N229" i="12"/>
  <c r="N230" i="12"/>
  <c r="N231" i="12"/>
  <c r="J233" i="12"/>
  <c r="I235" i="12"/>
  <c r="K235" i="12" s="1"/>
  <c r="J235" i="12"/>
  <c r="I236" i="12"/>
  <c r="J236" i="12"/>
  <c r="K236" i="12"/>
  <c r="J237" i="12"/>
  <c r="N238" i="12"/>
  <c r="N227" i="12" s="1"/>
  <c r="P238" i="12"/>
  <c r="L239" i="12"/>
  <c r="L240" i="12"/>
  <c r="L241" i="12"/>
  <c r="L242" i="12"/>
  <c r="I244" i="12"/>
  <c r="I237" i="12" s="1"/>
  <c r="K246" i="12"/>
  <c r="K247" i="12"/>
  <c r="J248" i="12"/>
  <c r="N249" i="12"/>
  <c r="P249" i="12"/>
  <c r="L250" i="12"/>
  <c r="L251" i="12"/>
  <c r="L252" i="12"/>
  <c r="L253" i="12"/>
  <c r="I255" i="12"/>
  <c r="K255" i="12" s="1"/>
  <c r="K257" i="12"/>
  <c r="K258" i="12"/>
  <c r="J260" i="12"/>
  <c r="L262" i="12"/>
  <c r="M262" i="12"/>
  <c r="P262" i="12" s="1"/>
  <c r="N262" i="12"/>
  <c r="O262" i="12"/>
  <c r="O265" i="12"/>
  <c r="P265" i="12"/>
  <c r="L266" i="12"/>
  <c r="L264" i="12" s="1"/>
  <c r="M266" i="12"/>
  <c r="M264" i="12" s="1"/>
  <c r="N266" i="12"/>
  <c r="O268" i="12"/>
  <c r="P268" i="12"/>
  <c r="L269" i="12"/>
  <c r="M269" i="12"/>
  <c r="M267" i="12" s="1"/>
  <c r="P267" i="12" s="1"/>
  <c r="N269" i="12"/>
  <c r="N267" i="12" s="1"/>
  <c r="I271" i="12"/>
  <c r="I260" i="12" s="1"/>
  <c r="K260" i="12" s="1"/>
  <c r="J276" i="12"/>
  <c r="L278" i="12"/>
  <c r="M278" i="12"/>
  <c r="P278" i="12" s="1"/>
  <c r="N278" i="12"/>
  <c r="O278" i="12"/>
  <c r="O281" i="12"/>
  <c r="P281" i="12"/>
  <c r="L282" i="12"/>
  <c r="O282" i="12" s="1"/>
  <c r="M282" i="12"/>
  <c r="M280" i="12" s="1"/>
  <c r="P280" i="12" s="1"/>
  <c r="N282" i="12"/>
  <c r="O284" i="12"/>
  <c r="P284" i="12"/>
  <c r="L285" i="12"/>
  <c r="O285" i="12" s="1"/>
  <c r="M285" i="12"/>
  <c r="M283" i="12" s="1"/>
  <c r="P283" i="12" s="1"/>
  <c r="N285" i="12"/>
  <c r="N283" i="12" s="1"/>
  <c r="I287" i="12"/>
  <c r="K287" i="12" s="1"/>
  <c r="I288" i="12"/>
  <c r="J288" i="12" s="1"/>
  <c r="J275" i="12" s="1"/>
  <c r="I290" i="12"/>
  <c r="K290" i="12" s="1"/>
  <c r="I291" i="12"/>
  <c r="K291" i="12" s="1"/>
  <c r="I293" i="12"/>
  <c r="K293" i="12" s="1"/>
  <c r="I294" i="12"/>
  <c r="K294" i="12" s="1"/>
  <c r="J297" i="12"/>
  <c r="L299" i="12"/>
  <c r="M299" i="12"/>
  <c r="N299" i="12"/>
  <c r="P299" i="12"/>
  <c r="O302" i="12"/>
  <c r="P302" i="12"/>
  <c r="L303" i="12"/>
  <c r="M303" i="12"/>
  <c r="M301" i="12" s="1"/>
  <c r="P301" i="12" s="1"/>
  <c r="N303" i="12"/>
  <c r="O305" i="12"/>
  <c r="P305" i="12"/>
  <c r="L306" i="12"/>
  <c r="M306" i="12"/>
  <c r="M304" i="12" s="1"/>
  <c r="P304" i="12" s="1"/>
  <c r="N306" i="12"/>
  <c r="N304" i="12" s="1"/>
  <c r="I309" i="12"/>
  <c r="I297" i="12" s="1"/>
  <c r="K297" i="12" s="1"/>
  <c r="I310" i="12"/>
  <c r="K310" i="12" s="1"/>
  <c r="I311" i="12"/>
  <c r="K311" i="12" s="1"/>
  <c r="I312" i="12"/>
  <c r="K312" i="12" s="1"/>
  <c r="J314" i="12"/>
  <c r="L316" i="12"/>
  <c r="M316" i="12"/>
  <c r="P316" i="12" s="1"/>
  <c r="N316" i="12"/>
  <c r="O319" i="12"/>
  <c r="P319" i="12"/>
  <c r="L320" i="12"/>
  <c r="L318" i="12" s="1"/>
  <c r="O318" i="12" s="1"/>
  <c r="M320" i="12"/>
  <c r="N320" i="12"/>
  <c r="N318" i="12" s="1"/>
  <c r="O322" i="12"/>
  <c r="P322" i="12"/>
  <c r="L323" i="12"/>
  <c r="L321" i="12" s="1"/>
  <c r="O321" i="12" s="1"/>
  <c r="M323" i="12"/>
  <c r="N323" i="12"/>
  <c r="N321" i="12" s="1"/>
  <c r="I325" i="12"/>
  <c r="K325" i="12" s="1"/>
  <c r="I327" i="12"/>
  <c r="L329" i="12"/>
  <c r="O329" i="12" s="1"/>
  <c r="M329" i="12"/>
  <c r="N329" i="12"/>
  <c r="O332" i="12"/>
  <c r="P332" i="12"/>
  <c r="L333" i="12"/>
  <c r="L331" i="12" s="1"/>
  <c r="M333" i="12"/>
  <c r="M331" i="12" s="1"/>
  <c r="N333" i="12"/>
  <c r="O335" i="12"/>
  <c r="P335" i="12"/>
  <c r="L336" i="12"/>
  <c r="O336" i="12" s="1"/>
  <c r="M336" i="12"/>
  <c r="M334" i="12" s="1"/>
  <c r="N336" i="12"/>
  <c r="N334" i="12" s="1"/>
  <c r="D337" i="12"/>
  <c r="I338" i="12"/>
  <c r="J338" i="12"/>
  <c r="I340" i="12"/>
  <c r="J340" i="12"/>
  <c r="J341" i="12"/>
  <c r="J342" i="12"/>
  <c r="J343" i="12"/>
  <c r="L346" i="12"/>
  <c r="M346" i="12"/>
  <c r="N346" i="12"/>
  <c r="O346" i="12"/>
  <c r="O349" i="12"/>
  <c r="P349" i="12"/>
  <c r="L350" i="12"/>
  <c r="L348" i="12" s="1"/>
  <c r="M350" i="12"/>
  <c r="M348" i="12" s="1"/>
  <c r="N350" i="12"/>
  <c r="O352" i="12"/>
  <c r="P352" i="12"/>
  <c r="L353" i="12"/>
  <c r="L351" i="12" s="1"/>
  <c r="M353" i="12"/>
  <c r="N353" i="12"/>
  <c r="N351" i="12" s="1"/>
  <c r="I355" i="12"/>
  <c r="J358" i="12"/>
  <c r="K358" i="12"/>
  <c r="I359" i="12"/>
  <c r="J359" i="12"/>
  <c r="I360" i="12"/>
  <c r="J360" i="12"/>
  <c r="J361" i="12"/>
  <c r="K361" i="12"/>
  <c r="I362" i="12"/>
  <c r="J362" i="12"/>
  <c r="J355" i="12" s="1"/>
  <c r="J363" i="12"/>
  <c r="K363" i="12"/>
  <c r="I365" i="12"/>
  <c r="J368" i="12"/>
  <c r="K368" i="12"/>
  <c r="I369" i="12"/>
  <c r="J369" i="12"/>
  <c r="I370" i="12"/>
  <c r="J370" i="12"/>
  <c r="J371" i="12"/>
  <c r="K371" i="12"/>
  <c r="I372" i="12"/>
  <c r="J372" i="12"/>
  <c r="A373" i="12"/>
  <c r="J373" i="12"/>
  <c r="K373" i="12"/>
  <c r="I374" i="12"/>
  <c r="J377" i="12"/>
  <c r="K377" i="12"/>
  <c r="I378" i="12"/>
  <c r="J378" i="12"/>
  <c r="I379" i="12"/>
  <c r="J379" i="12"/>
  <c r="J380" i="12"/>
  <c r="K380" i="12"/>
  <c r="I381" i="12"/>
  <c r="J381" i="12"/>
  <c r="J374" i="12" s="1"/>
  <c r="A382" i="12"/>
  <c r="J382" i="12"/>
  <c r="K382" i="12"/>
  <c r="D384" i="12"/>
  <c r="I385" i="12"/>
  <c r="J385" i="12"/>
  <c r="I388" i="12"/>
  <c r="J388" i="12"/>
  <c r="K388" i="12"/>
  <c r="L390" i="12"/>
  <c r="O390" i="12" s="1"/>
  <c r="M390" i="12"/>
  <c r="P390" i="12" s="1"/>
  <c r="N390" i="12"/>
  <c r="O393" i="12"/>
  <c r="P393" i="12"/>
  <c r="L394" i="12"/>
  <c r="L392" i="12" s="1"/>
  <c r="O392" i="12" s="1"/>
  <c r="M394" i="12"/>
  <c r="M392" i="12" s="1"/>
  <c r="P392" i="12" s="1"/>
  <c r="N394" i="12"/>
  <c r="N392" i="12" s="1"/>
  <c r="O396" i="12"/>
  <c r="P396" i="12"/>
  <c r="L397" i="12"/>
  <c r="L395" i="12" s="1"/>
  <c r="O395" i="12" s="1"/>
  <c r="M397" i="12"/>
  <c r="N397" i="12"/>
  <c r="N395" i="12" s="1"/>
  <c r="K399" i="12"/>
  <c r="K400" i="12"/>
  <c r="I401" i="12"/>
  <c r="K401" i="12" s="1"/>
  <c r="J401" i="12"/>
  <c r="L403" i="12"/>
  <c r="O403" i="12" s="1"/>
  <c r="M403" i="12"/>
  <c r="P403" i="12" s="1"/>
  <c r="N403" i="12"/>
  <c r="O406" i="12"/>
  <c r="P406" i="12"/>
  <c r="L407" i="12"/>
  <c r="L405" i="12" s="1"/>
  <c r="O405" i="12" s="1"/>
  <c r="M407" i="12"/>
  <c r="N407" i="12"/>
  <c r="O409" i="12"/>
  <c r="P409" i="12"/>
  <c r="L410" i="12"/>
  <c r="L408" i="12" s="1"/>
  <c r="O408" i="12" s="1"/>
  <c r="M410" i="12"/>
  <c r="N410" i="12"/>
  <c r="N408" i="12" s="1"/>
  <c r="K412" i="12"/>
  <c r="K413" i="12"/>
  <c r="L420" i="12"/>
  <c r="M420" i="12"/>
  <c r="N420" i="12"/>
  <c r="P420" i="12"/>
  <c r="O423" i="12"/>
  <c r="P423" i="12"/>
  <c r="L424" i="12"/>
  <c r="M424" i="12" s="1"/>
  <c r="N424" i="12"/>
  <c r="N422" i="12" s="1"/>
  <c r="M429" i="12"/>
  <c r="N429" i="12"/>
  <c r="P429" i="12"/>
  <c r="O430" i="12"/>
  <c r="P430" i="12"/>
  <c r="L431" i="12"/>
  <c r="O431" i="12" s="1"/>
  <c r="P431" i="12"/>
  <c r="J434" i="12"/>
  <c r="J418" i="12" s="1"/>
  <c r="I435" i="12"/>
  <c r="I437" i="12"/>
  <c r="K437" i="12" s="1"/>
  <c r="I438" i="12"/>
  <c r="I439" i="12"/>
  <c r="K439" i="12" s="1"/>
  <c r="I440" i="12"/>
  <c r="K440" i="12" s="1"/>
  <c r="I441" i="12"/>
  <c r="K441" i="12" s="1"/>
  <c r="J442" i="12"/>
  <c r="J443" i="12"/>
  <c r="L445" i="12"/>
  <c r="M445" i="12"/>
  <c r="N445" i="12"/>
  <c r="O445" i="12"/>
  <c r="O448" i="12"/>
  <c r="P448" i="12"/>
  <c r="L449" i="12"/>
  <c r="N449" i="12"/>
  <c r="N447" i="12" s="1"/>
  <c r="M454" i="12"/>
  <c r="P454" i="12" s="1"/>
  <c r="N454" i="12"/>
  <c r="O455" i="12"/>
  <c r="P455" i="12"/>
  <c r="L456" i="12"/>
  <c r="P456" i="12"/>
  <c r="K458" i="12"/>
  <c r="I460" i="12"/>
  <c r="K460" i="12" s="1"/>
  <c r="I462" i="12"/>
  <c r="I463" i="12"/>
  <c r="I464" i="12"/>
  <c r="I465" i="12"/>
  <c r="K465" i="12" s="1"/>
  <c r="J465" i="12"/>
  <c r="I466" i="12"/>
  <c r="J466" i="12"/>
  <c r="L468" i="12"/>
  <c r="M468" i="12"/>
  <c r="N468" i="12"/>
  <c r="O468" i="12"/>
  <c r="O471" i="12"/>
  <c r="P471" i="12"/>
  <c r="L472" i="12"/>
  <c r="N472" i="12"/>
  <c r="N470" i="12" s="1"/>
  <c r="M477" i="12"/>
  <c r="P477" i="12" s="1"/>
  <c r="N477" i="12"/>
  <c r="O478" i="12"/>
  <c r="P478" i="12"/>
  <c r="L479" i="12"/>
  <c r="P479" i="12"/>
  <c r="I483" i="12"/>
  <c r="K483" i="12" s="1"/>
  <c r="I485" i="12"/>
  <c r="K485" i="12" s="1"/>
  <c r="I487" i="12"/>
  <c r="K487" i="12" s="1"/>
  <c r="I489" i="12"/>
  <c r="K489" i="12" s="1"/>
  <c r="I492" i="12"/>
  <c r="K492" i="12" s="1"/>
  <c r="I495" i="12"/>
  <c r="K495" i="12" s="1"/>
  <c r="I498" i="12"/>
  <c r="K498" i="12" s="1"/>
  <c r="J500" i="12"/>
  <c r="K500" i="12"/>
  <c r="K501" i="12"/>
  <c r="L503" i="12"/>
  <c r="M503" i="12"/>
  <c r="P503" i="12" s="1"/>
  <c r="N503" i="12"/>
  <c r="L504" i="12"/>
  <c r="O504" i="12" s="1"/>
  <c r="M504" i="12"/>
  <c r="P504" i="12" s="1"/>
  <c r="L505" i="12"/>
  <c r="O505" i="12" s="1"/>
  <c r="M505" i="12"/>
  <c r="P505" i="12"/>
  <c r="O506" i="12"/>
  <c r="P506" i="12"/>
  <c r="N507" i="12"/>
  <c r="N504" i="12" s="1"/>
  <c r="O507" i="12"/>
  <c r="P507" i="12"/>
  <c r="L512" i="12"/>
  <c r="O512" i="12" s="1"/>
  <c r="M512" i="12"/>
  <c r="N512" i="12"/>
  <c r="P512" i="12"/>
  <c r="O513" i="12"/>
  <c r="P513" i="12"/>
  <c r="O514" i="12"/>
  <c r="P514" i="12"/>
  <c r="K516" i="12"/>
  <c r="J517" i="12"/>
  <c r="J501" i="12" s="1"/>
  <c r="K517" i="12"/>
  <c r="L524" i="12"/>
  <c r="M524" i="12"/>
  <c r="N524" i="12"/>
  <c r="P524" i="12"/>
  <c r="M525" i="12"/>
  <c r="P525" i="12" s="1"/>
  <c r="M526" i="12"/>
  <c r="P526" i="12" s="1"/>
  <c r="O527" i="12"/>
  <c r="P527" i="12"/>
  <c r="L528" i="12"/>
  <c r="L526" i="12" s="1"/>
  <c r="O526" i="12" s="1"/>
  <c r="N528" i="12"/>
  <c r="N525" i="12" s="1"/>
  <c r="P528" i="12"/>
  <c r="M533" i="12"/>
  <c r="P533" i="12" s="1"/>
  <c r="N533" i="12"/>
  <c r="O534" i="12"/>
  <c r="P534" i="12"/>
  <c r="L535" i="12"/>
  <c r="P535" i="12"/>
  <c r="I537" i="12"/>
  <c r="K537" i="12" s="1"/>
  <c r="I538" i="12"/>
  <c r="K538" i="12" s="1"/>
  <c r="I539" i="12"/>
  <c r="K539" i="12" s="1"/>
  <c r="I540" i="12"/>
  <c r="K540" i="12" s="1"/>
  <c r="I541" i="12"/>
  <c r="K541" i="12" s="1"/>
  <c r="I542" i="12"/>
  <c r="K542" i="12" s="1"/>
  <c r="L545" i="12"/>
  <c r="O548" i="12"/>
  <c r="P548" i="12"/>
  <c r="L549" i="12"/>
  <c r="M549" i="12" s="1"/>
  <c r="M546" i="12" s="1"/>
  <c r="N553" i="12"/>
  <c r="N549" i="12" s="1"/>
  <c r="N546" i="12" s="1"/>
  <c r="M555" i="12"/>
  <c r="N555" i="12"/>
  <c r="N545" i="12" s="1"/>
  <c r="O556" i="12"/>
  <c r="P556" i="12"/>
  <c r="L557" i="12"/>
  <c r="P557" i="12"/>
  <c r="I560" i="12"/>
  <c r="K560" i="12" s="1"/>
  <c r="J560" i="12"/>
  <c r="I561" i="12"/>
  <c r="K561" i="12" s="1"/>
  <c r="J561" i="12"/>
  <c r="I568" i="12"/>
  <c r="K568" i="12" s="1"/>
  <c r="J568" i="12"/>
  <c r="I569" i="12"/>
  <c r="K569" i="12" s="1"/>
  <c r="J569" i="12"/>
  <c r="I576" i="12"/>
  <c r="I559" i="12" s="1"/>
  <c r="K559" i="12" s="1"/>
  <c r="I577" i="12"/>
  <c r="K577" i="12" s="1"/>
  <c r="J582" i="12"/>
  <c r="J576" i="12" s="1"/>
  <c r="J559" i="12" s="1"/>
  <c r="J543" i="12" s="1"/>
  <c r="J583" i="12"/>
  <c r="J577" i="12" s="1"/>
  <c r="I593" i="12"/>
  <c r="I592" i="12" s="1"/>
  <c r="I594" i="12"/>
  <c r="K594" i="12" s="1"/>
  <c r="J595" i="12"/>
  <c r="J596" i="12"/>
  <c r="J594" i="12" s="1"/>
  <c r="J603" i="12"/>
  <c r="J593" i="12" s="1"/>
  <c r="J604" i="12"/>
  <c r="J611" i="12"/>
  <c r="K611" i="12"/>
  <c r="J612" i="12"/>
  <c r="K612" i="12"/>
  <c r="J613" i="12"/>
  <c r="K613" i="12"/>
  <c r="I620" i="12"/>
  <c r="K620" i="12" s="1"/>
  <c r="J620" i="12"/>
  <c r="I621" i="12"/>
  <c r="K621" i="12" s="1"/>
  <c r="J621" i="12"/>
  <c r="L630" i="12"/>
  <c r="M630" i="12"/>
  <c r="P630" i="12" s="1"/>
  <c r="N630" i="12"/>
  <c r="O630" i="12"/>
  <c r="O633" i="12"/>
  <c r="P633" i="12"/>
  <c r="L634" i="12"/>
  <c r="M634" i="12" s="1"/>
  <c r="M631" i="12" s="1"/>
  <c r="N634" i="12"/>
  <c r="N632" i="12" s="1"/>
  <c r="M639" i="12"/>
  <c r="P639" i="12" s="1"/>
  <c r="N639" i="12"/>
  <c r="O640" i="12"/>
  <c r="P640" i="12"/>
  <c r="L641" i="12"/>
  <c r="O641" i="12" s="1"/>
  <c r="P641" i="12"/>
  <c r="I643" i="12"/>
  <c r="K643" i="12" s="1"/>
  <c r="I644" i="12"/>
  <c r="K644" i="12" s="1"/>
  <c r="J645" i="12"/>
  <c r="K645" i="12"/>
  <c r="J646" i="12"/>
  <c r="K646" i="12"/>
  <c r="I647" i="12"/>
  <c r="J647" i="12"/>
  <c r="J648" i="12"/>
  <c r="K648" i="12"/>
  <c r="I649" i="12"/>
  <c r="J649" i="12"/>
  <c r="J650" i="12"/>
  <c r="K650" i="12"/>
  <c r="I651" i="12"/>
  <c r="I628" i="12" s="1"/>
  <c r="J651" i="12"/>
  <c r="A652" i="12"/>
  <c r="J652" i="12"/>
  <c r="K652" i="12"/>
  <c r="L656" i="12"/>
  <c r="M656" i="12"/>
  <c r="P656" i="12" s="1"/>
  <c r="N656" i="12"/>
  <c r="M657" i="12"/>
  <c r="P657" i="12" s="1"/>
  <c r="M658" i="12"/>
  <c r="P658" i="12" s="1"/>
  <c r="O659" i="12"/>
  <c r="P659" i="12"/>
  <c r="L660" i="12"/>
  <c r="L657" i="12" s="1"/>
  <c r="O657" i="12" s="1"/>
  <c r="N660" i="12"/>
  <c r="N658" i="12" s="1"/>
  <c r="P660" i="12"/>
  <c r="L665" i="12"/>
  <c r="O665" i="12" s="1"/>
  <c r="M665" i="12"/>
  <c r="P665" i="12" s="1"/>
  <c r="N665" i="12"/>
  <c r="O666" i="12"/>
  <c r="P666" i="12"/>
  <c r="O667" i="12"/>
  <c r="P667" i="12"/>
  <c r="I669" i="12"/>
  <c r="I670" i="12"/>
  <c r="K670" i="12" s="1"/>
  <c r="I671" i="12"/>
  <c r="K671" i="12" s="1"/>
  <c r="J675" i="12"/>
  <c r="J669" i="12" s="1"/>
  <c r="J654" i="12" s="1"/>
  <c r="I678" i="12"/>
  <c r="K678" i="12" s="1"/>
  <c r="J679" i="12"/>
  <c r="J678" i="12" s="1"/>
  <c r="L686" i="12"/>
  <c r="O686" i="12" s="1"/>
  <c r="M686" i="12"/>
  <c r="N686" i="12"/>
  <c r="M687" i="12"/>
  <c r="P687" i="12" s="1"/>
  <c r="M688" i="12"/>
  <c r="P688" i="12" s="1"/>
  <c r="L690" i="12"/>
  <c r="L688" i="12" s="1"/>
  <c r="O688" i="12" s="1"/>
  <c r="N690" i="12"/>
  <c r="N688" i="12" s="1"/>
  <c r="P690" i="12"/>
  <c r="L695" i="12"/>
  <c r="O695" i="12" s="1"/>
  <c r="M695" i="12"/>
  <c r="P695" i="12" s="1"/>
  <c r="N695" i="12"/>
  <c r="O696" i="12"/>
  <c r="P696" i="12"/>
  <c r="O697" i="12"/>
  <c r="P697" i="12"/>
  <c r="I699" i="12"/>
  <c r="K699" i="12" s="1"/>
  <c r="J699" i="12"/>
  <c r="I700" i="12"/>
  <c r="K700" i="12" s="1"/>
  <c r="J700" i="12"/>
  <c r="I701" i="12"/>
  <c r="K701" i="12" s="1"/>
  <c r="J701" i="12"/>
  <c r="I704" i="12"/>
  <c r="I707" i="12"/>
  <c r="I708" i="12"/>
  <c r="K708" i="12" s="1"/>
  <c r="J708" i="12"/>
  <c r="J718" i="12"/>
  <c r="J719" i="12"/>
  <c r="I720" i="12"/>
  <c r="K720" i="12" s="1"/>
  <c r="J720" i="12"/>
  <c r="I721" i="12"/>
  <c r="K721" i="12" s="1"/>
  <c r="I722" i="12"/>
  <c r="K722" i="12" s="1"/>
  <c r="I723" i="12"/>
  <c r="K723" i="12" s="1"/>
  <c r="J723" i="12"/>
  <c r="J724" i="12"/>
  <c r="I725" i="12"/>
  <c r="K725" i="12" s="1"/>
  <c r="J725" i="12"/>
  <c r="I726" i="12"/>
  <c r="K726" i="12" s="1"/>
  <c r="J726" i="12"/>
  <c r="J727" i="12"/>
  <c r="I728" i="12"/>
  <c r="K728" i="12" s="1"/>
  <c r="J728" i="12"/>
  <c r="I729" i="12"/>
  <c r="K729" i="12" s="1"/>
  <c r="J729" i="12"/>
  <c r="J736" i="12"/>
  <c r="K736" i="12"/>
  <c r="L738" i="12"/>
  <c r="O738" i="12" s="1"/>
  <c r="M738" i="12"/>
  <c r="N738" i="12"/>
  <c r="L739" i="12"/>
  <c r="L737" i="12" s="1"/>
  <c r="O737" i="12" s="1"/>
  <c r="M739" i="12"/>
  <c r="P739" i="12" s="1"/>
  <c r="L740" i="12"/>
  <c r="M740" i="12"/>
  <c r="P740" i="12" s="1"/>
  <c r="O740" i="12"/>
  <c r="O741" i="12"/>
  <c r="P741" i="12"/>
  <c r="N742" i="12"/>
  <c r="N740" i="12" s="1"/>
  <c r="O742" i="12"/>
  <c r="P742" i="12"/>
  <c r="L747" i="12"/>
  <c r="M747" i="12"/>
  <c r="P747" i="12" s="1"/>
  <c r="N747" i="12"/>
  <c r="O747" i="12"/>
  <c r="O748" i="12"/>
  <c r="P748" i="12"/>
  <c r="O749" i="12"/>
  <c r="P749" i="12"/>
  <c r="J753" i="12"/>
  <c r="K753" i="12"/>
  <c r="L755" i="12"/>
  <c r="M755" i="12"/>
  <c r="M754" i="12" s="1"/>
  <c r="P754" i="12" s="1"/>
  <c r="N755" i="12"/>
  <c r="O755" i="12"/>
  <c r="L756" i="12"/>
  <c r="L754" i="12" s="1"/>
  <c r="O754" i="12" s="1"/>
  <c r="M756" i="12"/>
  <c r="P756" i="12" s="1"/>
  <c r="L757" i="12"/>
  <c r="O757" i="12" s="1"/>
  <c r="M757" i="12"/>
  <c r="P757" i="12" s="1"/>
  <c r="O758" i="12"/>
  <c r="P758" i="12"/>
  <c r="N759" i="12"/>
  <c r="N757" i="12" s="1"/>
  <c r="O759" i="12"/>
  <c r="P759" i="12"/>
  <c r="L764" i="12"/>
  <c r="O764" i="12" s="1"/>
  <c r="M764" i="12"/>
  <c r="P764" i="12" s="1"/>
  <c r="N764" i="12"/>
  <c r="O765" i="12"/>
  <c r="P765" i="12"/>
  <c r="O766" i="12"/>
  <c r="P766" i="12"/>
  <c r="J769" i="12"/>
  <c r="K769" i="12"/>
  <c r="L771" i="12"/>
  <c r="O771" i="12" s="1"/>
  <c r="M771" i="12"/>
  <c r="M770" i="12" s="1"/>
  <c r="P770" i="12" s="1"/>
  <c r="N771" i="12"/>
  <c r="L772" i="12"/>
  <c r="M772" i="12"/>
  <c r="P772" i="12"/>
  <c r="L773" i="12"/>
  <c r="M773" i="12"/>
  <c r="P773" i="12" s="1"/>
  <c r="O773" i="12"/>
  <c r="O774" i="12"/>
  <c r="P774" i="12"/>
  <c r="N775" i="12"/>
  <c r="N773" i="12" s="1"/>
  <c r="O775" i="12"/>
  <c r="P775" i="12"/>
  <c r="L780" i="12"/>
  <c r="M780" i="12"/>
  <c r="P780" i="12" s="1"/>
  <c r="N780" i="12"/>
  <c r="O780" i="12"/>
  <c r="O781" i="12"/>
  <c r="P781" i="12"/>
  <c r="O782" i="12"/>
  <c r="P782" i="12"/>
  <c r="L787" i="12"/>
  <c r="M787" i="12"/>
  <c r="N787" i="12"/>
  <c r="P787" i="12"/>
  <c r="M788" i="12"/>
  <c r="P788" i="12" s="1"/>
  <c r="M789" i="12"/>
  <c r="P789" i="12" s="1"/>
  <c r="O790" i="12"/>
  <c r="P790" i="12"/>
  <c r="L791" i="12"/>
  <c r="L788" i="12" s="1"/>
  <c r="O788" i="12" s="1"/>
  <c r="N791" i="12"/>
  <c r="N789" i="12" s="1"/>
  <c r="P791" i="12"/>
  <c r="L796" i="12"/>
  <c r="O796" i="12" s="1"/>
  <c r="M796" i="12"/>
  <c r="P796" i="12" s="1"/>
  <c r="N796" i="12"/>
  <c r="O797" i="12"/>
  <c r="P797" i="12"/>
  <c r="O798" i="12"/>
  <c r="P798" i="12"/>
  <c r="I800" i="12"/>
  <c r="K800" i="12" s="1"/>
  <c r="J800" i="12"/>
  <c r="J785" i="12" s="1"/>
  <c r="J801" i="12"/>
  <c r="K802" i="12"/>
  <c r="J804" i="12"/>
  <c r="K804" i="12"/>
  <c r="L806" i="12"/>
  <c r="M806" i="12"/>
  <c r="N806" i="12"/>
  <c r="P806" i="12"/>
  <c r="L807" i="12"/>
  <c r="O807" i="12" s="1"/>
  <c r="M807" i="12"/>
  <c r="P807" i="12" s="1"/>
  <c r="L808" i="12"/>
  <c r="O808" i="12" s="1"/>
  <c r="M808" i="12"/>
  <c r="P808" i="12"/>
  <c r="O809" i="12"/>
  <c r="P809" i="12"/>
  <c r="N810" i="12"/>
  <c r="N808" i="12" s="1"/>
  <c r="O810" i="12"/>
  <c r="P810" i="12"/>
  <c r="L815" i="12"/>
  <c r="O815" i="12" s="1"/>
  <c r="M815" i="12"/>
  <c r="N815" i="12"/>
  <c r="P815" i="12"/>
  <c r="O816" i="12"/>
  <c r="P816" i="12"/>
  <c r="O817" i="12"/>
  <c r="P817" i="12"/>
  <c r="H820" i="12"/>
  <c r="I821" i="12"/>
  <c r="J821" i="12"/>
  <c r="I822" i="12"/>
  <c r="J822" i="12"/>
  <c r="I823" i="12"/>
  <c r="J823" i="12"/>
  <c r="I824" i="12"/>
  <c r="J824" i="12"/>
  <c r="I825" i="12"/>
  <c r="K825" i="12" s="1"/>
  <c r="J825" i="12"/>
  <c r="I826" i="12"/>
  <c r="K826" i="12" s="1"/>
  <c r="J826" i="12"/>
  <c r="I827" i="12"/>
  <c r="J827" i="12"/>
  <c r="I828" i="12"/>
  <c r="J828" i="12"/>
  <c r="L22" i="11"/>
  <c r="M22" i="11"/>
  <c r="N22" i="11"/>
  <c r="L25" i="11"/>
  <c r="L15" i="11" s="1"/>
  <c r="M25" i="11"/>
  <c r="N25" i="11"/>
  <c r="P25" i="11"/>
  <c r="L32" i="11"/>
  <c r="M32" i="11"/>
  <c r="P32" i="11" s="1"/>
  <c r="N32" i="11"/>
  <c r="O32" i="11"/>
  <c r="L35" i="11"/>
  <c r="M35" i="11"/>
  <c r="N35" i="11"/>
  <c r="N34" i="11" s="1"/>
  <c r="M36" i="11"/>
  <c r="N36" i="11"/>
  <c r="L42" i="11"/>
  <c r="M42" i="11"/>
  <c r="P42" i="11" s="1"/>
  <c r="N42" i="11"/>
  <c r="O42" i="11"/>
  <c r="O45" i="11"/>
  <c r="P45" i="11"/>
  <c r="L46" i="11"/>
  <c r="L44" i="11" s="1"/>
  <c r="M46" i="11"/>
  <c r="M44" i="11" s="1"/>
  <c r="N46" i="11"/>
  <c r="O48" i="11"/>
  <c r="P48" i="11"/>
  <c r="L49" i="11"/>
  <c r="L47" i="11" s="1"/>
  <c r="O47" i="11" s="1"/>
  <c r="M49" i="11"/>
  <c r="M47" i="11" s="1"/>
  <c r="P47" i="11" s="1"/>
  <c r="N49" i="11"/>
  <c r="N47" i="11" s="1"/>
  <c r="L54" i="11"/>
  <c r="O54" i="11" s="1"/>
  <c r="M54" i="11"/>
  <c r="N54" i="11"/>
  <c r="O57" i="11"/>
  <c r="P57" i="11"/>
  <c r="L58" i="11"/>
  <c r="L56" i="11" s="1"/>
  <c r="M58" i="11"/>
  <c r="N58" i="11"/>
  <c r="O60" i="11"/>
  <c r="P60" i="11"/>
  <c r="L61" i="11"/>
  <c r="L59" i="11" s="1"/>
  <c r="M61" i="11"/>
  <c r="N61" i="11"/>
  <c r="J65" i="11"/>
  <c r="L67" i="11"/>
  <c r="M67" i="11"/>
  <c r="P67" i="11" s="1"/>
  <c r="N67" i="11"/>
  <c r="O67" i="11"/>
  <c r="O70" i="11"/>
  <c r="P70" i="11"/>
  <c r="L71" i="11"/>
  <c r="L69" i="11" s="1"/>
  <c r="O69" i="11" s="1"/>
  <c r="M71" i="11"/>
  <c r="M69" i="11" s="1"/>
  <c r="P69" i="11" s="1"/>
  <c r="N71" i="11"/>
  <c r="N69" i="11" s="1"/>
  <c r="O73" i="11"/>
  <c r="P73" i="11"/>
  <c r="L74" i="11"/>
  <c r="O74" i="11" s="1"/>
  <c r="M74" i="11"/>
  <c r="M72" i="11" s="1"/>
  <c r="P72" i="11" s="1"/>
  <c r="N74" i="11"/>
  <c r="N72" i="11" s="1"/>
  <c r="J76" i="11"/>
  <c r="J64" i="11" s="1"/>
  <c r="J77" i="11"/>
  <c r="I78" i="11"/>
  <c r="I79" i="11"/>
  <c r="I80" i="11"/>
  <c r="K80" i="11" s="1"/>
  <c r="I81" i="11"/>
  <c r="K81" i="11" s="1"/>
  <c r="I82" i="11"/>
  <c r="K82" i="11" s="1"/>
  <c r="I83" i="11"/>
  <c r="K83" i="11" s="1"/>
  <c r="I84" i="11"/>
  <c r="K84" i="11" s="1"/>
  <c r="L89" i="11"/>
  <c r="M89" i="11"/>
  <c r="P89" i="11" s="1"/>
  <c r="N89" i="11"/>
  <c r="O92" i="11"/>
  <c r="P92" i="11"/>
  <c r="L93" i="11"/>
  <c r="L91" i="11" s="1"/>
  <c r="M93" i="11"/>
  <c r="M91" i="11" s="1"/>
  <c r="N93" i="11"/>
  <c r="N91" i="11" s="1"/>
  <c r="O95" i="11"/>
  <c r="P95" i="11"/>
  <c r="L96" i="11"/>
  <c r="O96" i="11" s="1"/>
  <c r="M96" i="11"/>
  <c r="P96" i="11" s="1"/>
  <c r="N96" i="11"/>
  <c r="N94" i="11" s="1"/>
  <c r="I98" i="11"/>
  <c r="J98" i="11"/>
  <c r="J86" i="11" s="1"/>
  <c r="I99" i="11"/>
  <c r="I87" i="11" s="1"/>
  <c r="J99" i="11"/>
  <c r="J87" i="11" s="1"/>
  <c r="I100" i="11"/>
  <c r="K100" i="11" s="1"/>
  <c r="J100" i="11"/>
  <c r="I102" i="11"/>
  <c r="K102" i="11" s="1"/>
  <c r="I103" i="11"/>
  <c r="K103" i="11" s="1"/>
  <c r="I104" i="11"/>
  <c r="K104" i="11" s="1"/>
  <c r="I106" i="11"/>
  <c r="K106" i="11" s="1"/>
  <c r="I107" i="11"/>
  <c r="K107" i="11" s="1"/>
  <c r="I109" i="11"/>
  <c r="K109" i="11" s="1"/>
  <c r="I110" i="11"/>
  <c r="K110" i="11" s="1"/>
  <c r="I111" i="11"/>
  <c r="J111" i="11"/>
  <c r="J112" i="11"/>
  <c r="I113" i="11"/>
  <c r="K113" i="11" s="1"/>
  <c r="I114" i="11"/>
  <c r="K114" i="11" s="1"/>
  <c r="I115" i="11"/>
  <c r="I116" i="11"/>
  <c r="K116" i="11" s="1"/>
  <c r="L120" i="11"/>
  <c r="O120" i="11" s="1"/>
  <c r="M120" i="11"/>
  <c r="N120" i="11"/>
  <c r="O123" i="11"/>
  <c r="P123" i="11"/>
  <c r="L124" i="11"/>
  <c r="M124" i="11"/>
  <c r="N124" i="11"/>
  <c r="O126" i="11"/>
  <c r="P126" i="11"/>
  <c r="L127" i="11"/>
  <c r="L125" i="11" s="1"/>
  <c r="O125" i="11" s="1"/>
  <c r="M127" i="11"/>
  <c r="N127" i="11"/>
  <c r="N125" i="11" s="1"/>
  <c r="J130" i="11"/>
  <c r="L133" i="11"/>
  <c r="M133" i="11"/>
  <c r="P133" i="11" s="1"/>
  <c r="N133" i="11"/>
  <c r="O133" i="11"/>
  <c r="O136" i="11"/>
  <c r="P136" i="11"/>
  <c r="L137" i="11"/>
  <c r="M137" i="11"/>
  <c r="M135" i="11" s="1"/>
  <c r="P135" i="11" s="1"/>
  <c r="N137" i="11"/>
  <c r="N135" i="11" s="1"/>
  <c r="O139" i="11"/>
  <c r="P139" i="11"/>
  <c r="L140" i="11"/>
  <c r="O140" i="11" s="1"/>
  <c r="M140" i="11"/>
  <c r="M138" i="11" s="1"/>
  <c r="P138" i="11" s="1"/>
  <c r="N140" i="11"/>
  <c r="N138" i="11" s="1"/>
  <c r="I144" i="11"/>
  <c r="I145" i="11"/>
  <c r="I143" i="11" s="1"/>
  <c r="I146" i="11"/>
  <c r="K146" i="11" s="1"/>
  <c r="J148" i="11"/>
  <c r="L150" i="11"/>
  <c r="M150" i="11"/>
  <c r="N150" i="11"/>
  <c r="O153" i="11"/>
  <c r="P153" i="11"/>
  <c r="L154" i="11"/>
  <c r="M154" i="11"/>
  <c r="N154" i="11"/>
  <c r="O156" i="11"/>
  <c r="P156" i="11"/>
  <c r="L157" i="11"/>
  <c r="O157" i="11" s="1"/>
  <c r="M157" i="11"/>
  <c r="N157" i="11"/>
  <c r="N155" i="11" s="1"/>
  <c r="I159" i="11"/>
  <c r="I148" i="11" s="1"/>
  <c r="K148" i="11" s="1"/>
  <c r="L166" i="11"/>
  <c r="M166" i="11"/>
  <c r="N166" i="11"/>
  <c r="P166" i="11"/>
  <c r="O169" i="11"/>
  <c r="P169" i="11"/>
  <c r="L170" i="11"/>
  <c r="L168" i="11" s="1"/>
  <c r="M170" i="11"/>
  <c r="M168" i="11" s="1"/>
  <c r="N170" i="11"/>
  <c r="O172" i="11"/>
  <c r="P172" i="11"/>
  <c r="L173" i="11"/>
  <c r="O173" i="11" s="1"/>
  <c r="M173" i="11"/>
  <c r="P173" i="11" s="1"/>
  <c r="N173" i="11"/>
  <c r="N171" i="11" s="1"/>
  <c r="J174" i="11"/>
  <c r="J164" i="11" s="1"/>
  <c r="I176" i="11"/>
  <c r="K176" i="11" s="1"/>
  <c r="J177" i="11"/>
  <c r="L182" i="11"/>
  <c r="M182" i="11"/>
  <c r="N182" i="11"/>
  <c r="P182" i="11"/>
  <c r="O185" i="11"/>
  <c r="P185" i="11"/>
  <c r="L186" i="11"/>
  <c r="M186" i="11"/>
  <c r="M184" i="11" s="1"/>
  <c r="N186" i="11"/>
  <c r="N184" i="11" s="1"/>
  <c r="O188" i="11"/>
  <c r="P188" i="11"/>
  <c r="L189" i="11"/>
  <c r="O189" i="11" s="1"/>
  <c r="M189" i="11"/>
  <c r="P189" i="11" s="1"/>
  <c r="N189" i="11"/>
  <c r="N187" i="11" s="1"/>
  <c r="J190" i="11"/>
  <c r="L191" i="11"/>
  <c r="O191" i="11" s="1"/>
  <c r="P191" i="11"/>
  <c r="I193" i="11"/>
  <c r="I190" i="11" s="1"/>
  <c r="K190" i="11" s="1"/>
  <c r="J194" i="11"/>
  <c r="J197" i="11"/>
  <c r="N198" i="11"/>
  <c r="P198" i="11"/>
  <c r="L199" i="11"/>
  <c r="L200" i="11"/>
  <c r="L201" i="11"/>
  <c r="L202" i="11"/>
  <c r="I204" i="11"/>
  <c r="I197" i="11" s="1"/>
  <c r="K197" i="11" s="1"/>
  <c r="K206" i="11"/>
  <c r="K207" i="11"/>
  <c r="J208" i="11"/>
  <c r="N209" i="11"/>
  <c r="P209" i="11"/>
  <c r="L210" i="11"/>
  <c r="L211" i="11"/>
  <c r="L212" i="11"/>
  <c r="I214" i="11"/>
  <c r="K214" i="11" s="1"/>
  <c r="I215" i="11"/>
  <c r="K215" i="11" s="1"/>
  <c r="J216" i="11"/>
  <c r="N217" i="11"/>
  <c r="P217" i="11"/>
  <c r="L218" i="11"/>
  <c r="L219" i="11"/>
  <c r="L220" i="11"/>
  <c r="I223" i="11"/>
  <c r="K223" i="11" s="1"/>
  <c r="I224" i="11"/>
  <c r="K224" i="11" s="1"/>
  <c r="I225" i="11"/>
  <c r="K225" i="11" s="1"/>
  <c r="J226" i="11"/>
  <c r="J180" i="11" s="1"/>
  <c r="N228" i="11"/>
  <c r="N229" i="11"/>
  <c r="N230" i="11"/>
  <c r="N231" i="11"/>
  <c r="J233" i="11"/>
  <c r="I235" i="11"/>
  <c r="J235" i="11"/>
  <c r="K235" i="11"/>
  <c r="I236" i="11"/>
  <c r="J236" i="11"/>
  <c r="K236" i="11"/>
  <c r="J237" i="11"/>
  <c r="N238" i="11"/>
  <c r="N227" i="11" s="1"/>
  <c r="P238" i="11"/>
  <c r="L239" i="11"/>
  <c r="L240" i="11"/>
  <c r="L241" i="11"/>
  <c r="L242" i="11"/>
  <c r="I244" i="11"/>
  <c r="K246" i="11"/>
  <c r="K247" i="11"/>
  <c r="J248" i="11"/>
  <c r="N249" i="11"/>
  <c r="P249" i="11"/>
  <c r="L250" i="11"/>
  <c r="L251" i="11"/>
  <c r="L252" i="11"/>
  <c r="L253" i="11"/>
  <c r="I255" i="11"/>
  <c r="K257" i="11"/>
  <c r="K258" i="11"/>
  <c r="J260" i="11"/>
  <c r="L262" i="11"/>
  <c r="M262" i="11"/>
  <c r="N262" i="11"/>
  <c r="O265" i="11"/>
  <c r="P265" i="11"/>
  <c r="L266" i="11"/>
  <c r="L264" i="11" s="1"/>
  <c r="M266" i="11"/>
  <c r="M264" i="11" s="1"/>
  <c r="N266" i="11"/>
  <c r="O268" i="11"/>
  <c r="P268" i="11"/>
  <c r="L269" i="11"/>
  <c r="L267" i="11" s="1"/>
  <c r="O267" i="11" s="1"/>
  <c r="M269" i="11"/>
  <c r="M267" i="11" s="1"/>
  <c r="P267" i="11" s="1"/>
  <c r="N269" i="11"/>
  <c r="N267" i="11" s="1"/>
  <c r="I271" i="11"/>
  <c r="J276" i="11"/>
  <c r="L278" i="11"/>
  <c r="O278" i="11" s="1"/>
  <c r="M278" i="11"/>
  <c r="N278" i="11"/>
  <c r="O281" i="11"/>
  <c r="P281" i="11"/>
  <c r="L282" i="11"/>
  <c r="L280" i="11" s="1"/>
  <c r="O280" i="11" s="1"/>
  <c r="M282" i="11"/>
  <c r="M280" i="11" s="1"/>
  <c r="P280" i="11" s="1"/>
  <c r="N282" i="11"/>
  <c r="N280" i="11" s="1"/>
  <c r="O284" i="11"/>
  <c r="P284" i="11"/>
  <c r="L285" i="11"/>
  <c r="L283" i="11" s="1"/>
  <c r="O283" i="11" s="1"/>
  <c r="M285" i="11"/>
  <c r="P285" i="11" s="1"/>
  <c r="N285" i="11"/>
  <c r="N283" i="11" s="1"/>
  <c r="I287" i="11"/>
  <c r="I276" i="11" s="1"/>
  <c r="K276" i="11" s="1"/>
  <c r="I288" i="11"/>
  <c r="I275" i="11" s="1"/>
  <c r="K275" i="11" s="1"/>
  <c r="I290" i="11"/>
  <c r="K290" i="11" s="1"/>
  <c r="I291" i="11"/>
  <c r="K291" i="11" s="1"/>
  <c r="I293" i="11"/>
  <c r="K293" i="11" s="1"/>
  <c r="I294" i="11"/>
  <c r="K294" i="11" s="1"/>
  <c r="J297" i="11"/>
  <c r="L299" i="11"/>
  <c r="O299" i="11" s="1"/>
  <c r="M299" i="11"/>
  <c r="N299" i="11"/>
  <c r="O302" i="11"/>
  <c r="P302" i="11"/>
  <c r="L303" i="11"/>
  <c r="O303" i="11" s="1"/>
  <c r="M303" i="11"/>
  <c r="N303" i="11"/>
  <c r="O305" i="11"/>
  <c r="P305" i="11"/>
  <c r="L306" i="11"/>
  <c r="O306" i="11" s="1"/>
  <c r="M306" i="11"/>
  <c r="N306" i="11"/>
  <c r="N304" i="11" s="1"/>
  <c r="I309" i="11"/>
  <c r="I297" i="11" s="1"/>
  <c r="K297" i="11" s="1"/>
  <c r="I310" i="11"/>
  <c r="K310" i="11" s="1"/>
  <c r="I311" i="11"/>
  <c r="K311" i="11" s="1"/>
  <c r="I312" i="11"/>
  <c r="K312" i="11" s="1"/>
  <c r="J314" i="11"/>
  <c r="L316" i="11"/>
  <c r="M316" i="11"/>
  <c r="N316" i="11"/>
  <c r="P316" i="11"/>
  <c r="O319" i="11"/>
  <c r="P319" i="11"/>
  <c r="L320" i="11"/>
  <c r="O320" i="11" s="1"/>
  <c r="M320" i="11"/>
  <c r="M318" i="11" s="1"/>
  <c r="P318" i="11" s="1"/>
  <c r="N320" i="11"/>
  <c r="N318" i="11" s="1"/>
  <c r="O322" i="11"/>
  <c r="P322" i="11"/>
  <c r="L323" i="11"/>
  <c r="O323" i="11" s="1"/>
  <c r="M323" i="11"/>
  <c r="P323" i="11" s="1"/>
  <c r="N323" i="11"/>
  <c r="N321" i="11" s="1"/>
  <c r="I325" i="11"/>
  <c r="K325" i="11" s="1"/>
  <c r="I327" i="11"/>
  <c r="L329" i="11"/>
  <c r="M329" i="11"/>
  <c r="P329" i="11" s="1"/>
  <c r="N329" i="11"/>
  <c r="O329" i="11"/>
  <c r="O332" i="11"/>
  <c r="P332" i="11"/>
  <c r="L333" i="11"/>
  <c r="L331" i="11" s="1"/>
  <c r="M333" i="11"/>
  <c r="M331" i="11" s="1"/>
  <c r="N333" i="11"/>
  <c r="N331" i="11" s="1"/>
  <c r="O335" i="11"/>
  <c r="P335" i="11"/>
  <c r="L336" i="11"/>
  <c r="L334" i="11" s="1"/>
  <c r="O334" i="11" s="1"/>
  <c r="M336" i="11"/>
  <c r="M334" i="11" s="1"/>
  <c r="P334" i="11" s="1"/>
  <c r="N336" i="11"/>
  <c r="N334" i="11" s="1"/>
  <c r="D337" i="11"/>
  <c r="I338" i="11"/>
  <c r="J338" i="11"/>
  <c r="I340" i="11"/>
  <c r="J340" i="11"/>
  <c r="J341" i="11"/>
  <c r="J342" i="11"/>
  <c r="J343" i="11"/>
  <c r="L346" i="11"/>
  <c r="M346" i="11"/>
  <c r="P346" i="11" s="1"/>
  <c r="N346" i="11"/>
  <c r="O346" i="11"/>
  <c r="O349" i="11"/>
  <c r="P349" i="11"/>
  <c r="L350" i="11"/>
  <c r="L348" i="11" s="1"/>
  <c r="M350" i="11"/>
  <c r="M348" i="11" s="1"/>
  <c r="N350" i="11"/>
  <c r="O352" i="11"/>
  <c r="P352" i="11"/>
  <c r="L353" i="11"/>
  <c r="L351" i="11" s="1"/>
  <c r="M353" i="11"/>
  <c r="M351" i="11" s="1"/>
  <c r="N353" i="11"/>
  <c r="I355" i="11"/>
  <c r="J358" i="11"/>
  <c r="K358" i="11"/>
  <c r="I359" i="11"/>
  <c r="J359" i="11"/>
  <c r="I360" i="11"/>
  <c r="J360" i="11"/>
  <c r="J361" i="11"/>
  <c r="K361" i="11"/>
  <c r="I362" i="11"/>
  <c r="J362" i="11"/>
  <c r="J355" i="11" s="1"/>
  <c r="J363" i="11"/>
  <c r="K363" i="11"/>
  <c r="I365" i="11"/>
  <c r="J368" i="11"/>
  <c r="K368" i="11"/>
  <c r="I369" i="11"/>
  <c r="J369" i="11"/>
  <c r="I370" i="11"/>
  <c r="J370" i="11"/>
  <c r="J371" i="11"/>
  <c r="K371" i="11"/>
  <c r="I372" i="11"/>
  <c r="J372" i="11"/>
  <c r="J365" i="11" s="1"/>
  <c r="A373" i="11"/>
  <c r="J373" i="11"/>
  <c r="K373" i="11"/>
  <c r="I374" i="11"/>
  <c r="J377" i="11"/>
  <c r="K377" i="11"/>
  <c r="I378" i="11"/>
  <c r="J378" i="11"/>
  <c r="I379" i="11"/>
  <c r="J379" i="11"/>
  <c r="J380" i="11"/>
  <c r="K380" i="11"/>
  <c r="I381" i="11"/>
  <c r="J381" i="11"/>
  <c r="J374" i="11" s="1"/>
  <c r="A382" i="11"/>
  <c r="J382" i="11"/>
  <c r="K382" i="11"/>
  <c r="D384" i="11"/>
  <c r="I385" i="11"/>
  <c r="J385" i="11"/>
  <c r="I388" i="11"/>
  <c r="K388" i="11" s="1"/>
  <c r="J388" i="11"/>
  <c r="L390" i="11"/>
  <c r="O390" i="11" s="1"/>
  <c r="M390" i="11"/>
  <c r="N390" i="11"/>
  <c r="P390" i="11"/>
  <c r="O393" i="11"/>
  <c r="P393" i="11"/>
  <c r="L394" i="11"/>
  <c r="O394" i="11" s="1"/>
  <c r="M394" i="11"/>
  <c r="P394" i="11" s="1"/>
  <c r="N394" i="11"/>
  <c r="N392" i="11" s="1"/>
  <c r="O396" i="11"/>
  <c r="P396" i="11"/>
  <c r="L397" i="11"/>
  <c r="O397" i="11" s="1"/>
  <c r="M397" i="11"/>
  <c r="M395" i="11" s="1"/>
  <c r="P395" i="11" s="1"/>
  <c r="N397" i="11"/>
  <c r="N395" i="11" s="1"/>
  <c r="K399" i="11"/>
  <c r="K400" i="11"/>
  <c r="I401" i="11"/>
  <c r="K401" i="11" s="1"/>
  <c r="J401" i="11"/>
  <c r="L403" i="11"/>
  <c r="M403" i="11"/>
  <c r="P403" i="11" s="1"/>
  <c r="N403" i="11"/>
  <c r="O403" i="11"/>
  <c r="O406" i="11"/>
  <c r="P406" i="11"/>
  <c r="L407" i="11"/>
  <c r="L405" i="11" s="1"/>
  <c r="O405" i="11" s="1"/>
  <c r="M407" i="11"/>
  <c r="M405" i="11" s="1"/>
  <c r="P405" i="11" s="1"/>
  <c r="N407" i="11"/>
  <c r="N405" i="11" s="1"/>
  <c r="O409" i="11"/>
  <c r="P409" i="11"/>
  <c r="L410" i="11"/>
  <c r="O410" i="11" s="1"/>
  <c r="M410" i="11"/>
  <c r="M408" i="11" s="1"/>
  <c r="P408" i="11" s="1"/>
  <c r="N410" i="11"/>
  <c r="N408" i="11" s="1"/>
  <c r="K412" i="11"/>
  <c r="K413" i="11"/>
  <c r="L420" i="11"/>
  <c r="O420" i="11" s="1"/>
  <c r="M420" i="11"/>
  <c r="N420" i="11"/>
  <c r="P420" i="11"/>
  <c r="N422" i="11"/>
  <c r="O423" i="11"/>
  <c r="P423" i="11"/>
  <c r="L424" i="11"/>
  <c r="L422" i="11" s="1"/>
  <c r="O422" i="11" s="1"/>
  <c r="N424" i="11"/>
  <c r="M429" i="11"/>
  <c r="P429" i="11" s="1"/>
  <c r="N429" i="11"/>
  <c r="O430" i="11"/>
  <c r="P430" i="11"/>
  <c r="L431" i="11"/>
  <c r="O431" i="11" s="1"/>
  <c r="P431" i="11"/>
  <c r="J434" i="11"/>
  <c r="J418" i="11" s="1"/>
  <c r="I435" i="11"/>
  <c r="I433" i="11" s="1"/>
  <c r="I417" i="11" s="1"/>
  <c r="I437" i="11"/>
  <c r="K437" i="11" s="1"/>
  <c r="I438" i="11"/>
  <c r="K438" i="11" s="1"/>
  <c r="I439" i="11"/>
  <c r="K439" i="11" s="1"/>
  <c r="I440" i="11"/>
  <c r="K440" i="11" s="1"/>
  <c r="I441" i="11"/>
  <c r="K441" i="11" s="1"/>
  <c r="J442" i="11"/>
  <c r="J443" i="11"/>
  <c r="L445" i="11"/>
  <c r="O445" i="11" s="1"/>
  <c r="M445" i="11"/>
  <c r="N445" i="11"/>
  <c r="P445" i="11"/>
  <c r="M446" i="11"/>
  <c r="P446" i="11" s="1"/>
  <c r="M447" i="11"/>
  <c r="P447" i="11"/>
  <c r="O448" i="11"/>
  <c r="P448" i="11"/>
  <c r="L449" i="11"/>
  <c r="L447" i="11" s="1"/>
  <c r="O447" i="11" s="1"/>
  <c r="N449" i="11"/>
  <c r="N447" i="11" s="1"/>
  <c r="P449" i="11"/>
  <c r="M454" i="11"/>
  <c r="P454" i="11" s="1"/>
  <c r="N454" i="11"/>
  <c r="O455" i="11"/>
  <c r="P455" i="11"/>
  <c r="L456" i="11"/>
  <c r="O456" i="11" s="1"/>
  <c r="P456" i="11"/>
  <c r="K458" i="11"/>
  <c r="I460" i="11"/>
  <c r="I442" i="11" s="1"/>
  <c r="K442" i="11" s="1"/>
  <c r="I462" i="11"/>
  <c r="K462" i="11" s="1"/>
  <c r="I463" i="11"/>
  <c r="I464" i="11"/>
  <c r="I465" i="11"/>
  <c r="J465" i="11"/>
  <c r="I466" i="11"/>
  <c r="J466" i="11"/>
  <c r="L468" i="11"/>
  <c r="O468" i="11" s="1"/>
  <c r="M468" i="11"/>
  <c r="N468" i="11"/>
  <c r="P468" i="11"/>
  <c r="O471" i="11"/>
  <c r="P471" i="11"/>
  <c r="L472" i="11"/>
  <c r="L470" i="11" s="1"/>
  <c r="O470" i="11" s="1"/>
  <c r="N472" i="11"/>
  <c r="N470" i="11" s="1"/>
  <c r="M477" i="11"/>
  <c r="P477" i="11" s="1"/>
  <c r="N477" i="11"/>
  <c r="O478" i="11"/>
  <c r="P478" i="11"/>
  <c r="L479" i="11"/>
  <c r="L477" i="11" s="1"/>
  <c r="O477" i="11" s="1"/>
  <c r="P479" i="11"/>
  <c r="I483" i="11"/>
  <c r="K483" i="11" s="1"/>
  <c r="I485" i="11"/>
  <c r="K485" i="11" s="1"/>
  <c r="I487" i="11"/>
  <c r="K487" i="11" s="1"/>
  <c r="I489" i="11"/>
  <c r="K489" i="11" s="1"/>
  <c r="I492" i="11"/>
  <c r="K492" i="11" s="1"/>
  <c r="I495" i="11"/>
  <c r="K495" i="11" s="1"/>
  <c r="I498" i="11"/>
  <c r="K498" i="11" s="1"/>
  <c r="J500" i="11"/>
  <c r="K500" i="11"/>
  <c r="K501" i="11"/>
  <c r="M502" i="11"/>
  <c r="P502" i="11" s="1"/>
  <c r="L503" i="11"/>
  <c r="O503" i="11" s="1"/>
  <c r="M503" i="11"/>
  <c r="P503" i="11" s="1"/>
  <c r="N503" i="11"/>
  <c r="L504" i="11"/>
  <c r="O504" i="11" s="1"/>
  <c r="M504" i="11"/>
  <c r="P504" i="11" s="1"/>
  <c r="N504" i="11"/>
  <c r="L505" i="11"/>
  <c r="O505" i="11" s="1"/>
  <c r="M505" i="11"/>
  <c r="P505" i="11"/>
  <c r="O506" i="11"/>
  <c r="P506" i="11"/>
  <c r="N507" i="11"/>
  <c r="N505" i="11" s="1"/>
  <c r="O507" i="11"/>
  <c r="P507" i="11"/>
  <c r="L512" i="11"/>
  <c r="O512" i="11" s="1"/>
  <c r="M512" i="11"/>
  <c r="N512" i="11"/>
  <c r="P512" i="11"/>
  <c r="O513" i="11"/>
  <c r="P513" i="11"/>
  <c r="O514" i="11"/>
  <c r="P514" i="11"/>
  <c r="K516" i="11"/>
  <c r="J517" i="11"/>
  <c r="J501" i="11" s="1"/>
  <c r="K517" i="11"/>
  <c r="L524" i="11"/>
  <c r="M524" i="11"/>
  <c r="P524" i="11" s="1"/>
  <c r="N524" i="11"/>
  <c r="O524" i="11"/>
  <c r="M525" i="11"/>
  <c r="P525" i="11" s="1"/>
  <c r="M526" i="11"/>
  <c r="P526" i="11" s="1"/>
  <c r="O527" i="11"/>
  <c r="P527" i="11"/>
  <c r="L528" i="11"/>
  <c r="L526" i="11" s="1"/>
  <c r="O526" i="11" s="1"/>
  <c r="N528" i="11"/>
  <c r="N526" i="11" s="1"/>
  <c r="P528" i="11"/>
  <c r="M533" i="11"/>
  <c r="P533" i="11" s="1"/>
  <c r="N533" i="11"/>
  <c r="O534" i="11"/>
  <c r="P534" i="11"/>
  <c r="L535" i="11"/>
  <c r="O535" i="11" s="1"/>
  <c r="P535" i="11"/>
  <c r="I537" i="11"/>
  <c r="I522" i="11" s="1"/>
  <c r="K522" i="11" s="1"/>
  <c r="I538" i="11"/>
  <c r="I539" i="11"/>
  <c r="K539" i="11" s="1"/>
  <c r="I540" i="11"/>
  <c r="K540" i="11" s="1"/>
  <c r="I541" i="11"/>
  <c r="K541" i="11" s="1"/>
  <c r="I542" i="11"/>
  <c r="K542" i="11" s="1"/>
  <c r="L545" i="11"/>
  <c r="O548" i="11"/>
  <c r="P548" i="11"/>
  <c r="L549" i="11"/>
  <c r="O549" i="11" s="1"/>
  <c r="N549" i="11"/>
  <c r="N546" i="11" s="1"/>
  <c r="M555" i="11"/>
  <c r="M545" i="11" s="1"/>
  <c r="N555" i="11"/>
  <c r="N545" i="11" s="1"/>
  <c r="O556" i="11"/>
  <c r="P556" i="11"/>
  <c r="L557" i="11"/>
  <c r="O557" i="11" s="1"/>
  <c r="P557" i="11"/>
  <c r="I560" i="11"/>
  <c r="K560" i="11" s="1"/>
  <c r="J560" i="11"/>
  <c r="I561" i="11"/>
  <c r="J561" i="11"/>
  <c r="I568" i="11"/>
  <c r="K568" i="11" s="1"/>
  <c r="J568" i="11"/>
  <c r="I569" i="11"/>
  <c r="J569" i="11"/>
  <c r="I576" i="11"/>
  <c r="I559" i="11" s="1"/>
  <c r="I543" i="11" s="1"/>
  <c r="I577" i="11"/>
  <c r="K577" i="11" s="1"/>
  <c r="J577" i="11"/>
  <c r="J582" i="11"/>
  <c r="J576" i="11" s="1"/>
  <c r="J583" i="11"/>
  <c r="I593" i="11"/>
  <c r="I594" i="11"/>
  <c r="K594" i="11" s="1"/>
  <c r="J595" i="11"/>
  <c r="J593" i="11" s="1"/>
  <c r="J592" i="11" s="1"/>
  <c r="J596" i="11"/>
  <c r="J603" i="11"/>
  <c r="J604" i="11"/>
  <c r="J594" i="11" s="1"/>
  <c r="J611" i="11"/>
  <c r="K611" i="11"/>
  <c r="J612" i="11"/>
  <c r="K612" i="11"/>
  <c r="J613" i="11"/>
  <c r="K613" i="11"/>
  <c r="I620" i="11"/>
  <c r="K620" i="11" s="1"/>
  <c r="J620" i="11"/>
  <c r="I621" i="11"/>
  <c r="K621" i="11" s="1"/>
  <c r="J621" i="11"/>
  <c r="L630" i="11"/>
  <c r="M630" i="11"/>
  <c r="P630" i="11" s="1"/>
  <c r="N630" i="11"/>
  <c r="O633" i="11"/>
  <c r="P633" i="11"/>
  <c r="L634" i="11"/>
  <c r="M634" i="11" s="1"/>
  <c r="M631" i="11" s="1"/>
  <c r="N634" i="11"/>
  <c r="N631" i="11" s="1"/>
  <c r="M639" i="11"/>
  <c r="P639" i="11" s="1"/>
  <c r="N639" i="11"/>
  <c r="O640" i="11"/>
  <c r="P640" i="11"/>
  <c r="L641" i="11"/>
  <c r="L639" i="11" s="1"/>
  <c r="O639" i="11" s="1"/>
  <c r="P641" i="11"/>
  <c r="I643" i="11"/>
  <c r="K643" i="11" s="1"/>
  <c r="I644" i="11"/>
  <c r="K644" i="11" s="1"/>
  <c r="J645" i="11"/>
  <c r="K645" i="11"/>
  <c r="J646" i="11"/>
  <c r="K646" i="11"/>
  <c r="I647" i="11"/>
  <c r="J647" i="11"/>
  <c r="J648" i="11"/>
  <c r="K648" i="11"/>
  <c r="I649" i="11"/>
  <c r="J649" i="11"/>
  <c r="J650" i="11"/>
  <c r="K650" i="11"/>
  <c r="I651" i="11"/>
  <c r="J651" i="11"/>
  <c r="J628" i="11" s="1"/>
  <c r="A652" i="11"/>
  <c r="J652" i="11"/>
  <c r="K652" i="11"/>
  <c r="L656" i="11"/>
  <c r="O656" i="11" s="1"/>
  <c r="M656" i="11"/>
  <c r="P656" i="11" s="1"/>
  <c r="N656" i="11"/>
  <c r="O659" i="11"/>
  <c r="P659" i="11"/>
  <c r="L660" i="11"/>
  <c r="L658" i="11" s="1"/>
  <c r="N660" i="11"/>
  <c r="N658" i="11" s="1"/>
  <c r="L665" i="11"/>
  <c r="M665" i="11"/>
  <c r="P665" i="11" s="1"/>
  <c r="N665" i="11"/>
  <c r="O665" i="11"/>
  <c r="O666" i="11"/>
  <c r="P666" i="11"/>
  <c r="O667" i="11"/>
  <c r="P667" i="11"/>
  <c r="I669" i="11"/>
  <c r="K672" i="11" s="1"/>
  <c r="I670" i="11"/>
  <c r="K670" i="11" s="1"/>
  <c r="I671" i="11"/>
  <c r="K671" i="11" s="1"/>
  <c r="J675" i="11"/>
  <c r="J669" i="11" s="1"/>
  <c r="J654" i="11" s="1"/>
  <c r="I678" i="11"/>
  <c r="K678" i="11" s="1"/>
  <c r="J678" i="11"/>
  <c r="J679" i="11"/>
  <c r="L686" i="11"/>
  <c r="O686" i="11" s="1"/>
  <c r="M686" i="11"/>
  <c r="M685" i="11" s="1"/>
  <c r="P685" i="11" s="1"/>
  <c r="N686" i="11"/>
  <c r="P686" i="11"/>
  <c r="M687" i="11"/>
  <c r="P687" i="11"/>
  <c r="M688" i="11"/>
  <c r="P688" i="11"/>
  <c r="L690" i="11"/>
  <c r="L687" i="11" s="1"/>
  <c r="N690" i="11"/>
  <c r="N688" i="11" s="1"/>
  <c r="P690" i="11"/>
  <c r="L695" i="11"/>
  <c r="M695" i="11"/>
  <c r="P695" i="11" s="1"/>
  <c r="N695" i="11"/>
  <c r="O695" i="11"/>
  <c r="O696" i="11"/>
  <c r="P696" i="11"/>
  <c r="O697" i="11"/>
  <c r="P697" i="11"/>
  <c r="I699" i="11"/>
  <c r="K699" i="11" s="1"/>
  <c r="J699" i="11"/>
  <c r="I700" i="11"/>
  <c r="K700" i="11" s="1"/>
  <c r="J700" i="11"/>
  <c r="I701" i="11"/>
  <c r="K701" i="11" s="1"/>
  <c r="J701" i="11"/>
  <c r="I704" i="11"/>
  <c r="I707" i="11"/>
  <c r="I708" i="11"/>
  <c r="K708" i="11" s="1"/>
  <c r="J708" i="11"/>
  <c r="J718" i="11"/>
  <c r="J719" i="11"/>
  <c r="I720" i="11"/>
  <c r="K720" i="11" s="1"/>
  <c r="J720" i="11"/>
  <c r="I721" i="11"/>
  <c r="K721" i="11" s="1"/>
  <c r="I722" i="11"/>
  <c r="K722" i="11" s="1"/>
  <c r="I723" i="11"/>
  <c r="K723" i="11" s="1"/>
  <c r="J723" i="11"/>
  <c r="J724" i="11"/>
  <c r="I725" i="11"/>
  <c r="K725" i="11" s="1"/>
  <c r="J725" i="11"/>
  <c r="I726" i="11"/>
  <c r="K726" i="11" s="1"/>
  <c r="J726" i="11"/>
  <c r="J727" i="11"/>
  <c r="I728" i="11"/>
  <c r="K728" i="11" s="1"/>
  <c r="J728" i="11"/>
  <c r="I729" i="11"/>
  <c r="K729" i="11" s="1"/>
  <c r="J729" i="11"/>
  <c r="J736" i="11"/>
  <c r="K736" i="11"/>
  <c r="L738" i="11"/>
  <c r="O738" i="11" s="1"/>
  <c r="M738" i="11"/>
  <c r="N738" i="11"/>
  <c r="P738" i="11"/>
  <c r="L739" i="11"/>
  <c r="L737" i="11" s="1"/>
  <c r="O737" i="11" s="1"/>
  <c r="M739" i="11"/>
  <c r="P739" i="11" s="1"/>
  <c r="L740" i="11"/>
  <c r="O740" i="11" s="1"/>
  <c r="M740" i="11"/>
  <c r="P740" i="11" s="1"/>
  <c r="O741" i="11"/>
  <c r="P741" i="11"/>
  <c r="N742" i="11"/>
  <c r="N740" i="11" s="1"/>
  <c r="O742" i="11"/>
  <c r="P742" i="11"/>
  <c r="L747" i="11"/>
  <c r="M747" i="11"/>
  <c r="P747" i="11" s="1"/>
  <c r="N747" i="11"/>
  <c r="O747" i="11"/>
  <c r="O748" i="11"/>
  <c r="P748" i="11"/>
  <c r="O749" i="11"/>
  <c r="P749" i="11"/>
  <c r="J753" i="11"/>
  <c r="K753" i="11"/>
  <c r="L755" i="11"/>
  <c r="M755" i="11"/>
  <c r="M754" i="11" s="1"/>
  <c r="P754" i="11" s="1"/>
  <c r="N755" i="11"/>
  <c r="O755" i="11"/>
  <c r="L756" i="11"/>
  <c r="L754" i="11" s="1"/>
  <c r="O754" i="11" s="1"/>
  <c r="M756" i="11"/>
  <c r="P756" i="11"/>
  <c r="L757" i="11"/>
  <c r="O757" i="11" s="1"/>
  <c r="M757" i="11"/>
  <c r="P757" i="11" s="1"/>
  <c r="O758" i="11"/>
  <c r="P758" i="11"/>
  <c r="N759" i="11"/>
  <c r="N757" i="11" s="1"/>
  <c r="O759" i="11"/>
  <c r="P759" i="11"/>
  <c r="L764" i="11"/>
  <c r="O764" i="11" s="1"/>
  <c r="M764" i="11"/>
  <c r="P764" i="11" s="1"/>
  <c r="N764" i="11"/>
  <c r="O765" i="11"/>
  <c r="P765" i="11"/>
  <c r="O766" i="11"/>
  <c r="P766" i="11"/>
  <c r="J769" i="11"/>
  <c r="K769" i="11"/>
  <c r="L771" i="11"/>
  <c r="O771" i="11" s="1"/>
  <c r="M771" i="11"/>
  <c r="N771" i="11"/>
  <c r="P771" i="11"/>
  <c r="L772" i="11"/>
  <c r="M772" i="11"/>
  <c r="P772" i="11" s="1"/>
  <c r="L773" i="11"/>
  <c r="O773" i="11" s="1"/>
  <c r="M773" i="11"/>
  <c r="P773" i="11" s="1"/>
  <c r="O774" i="11"/>
  <c r="P774" i="11"/>
  <c r="N775" i="11"/>
  <c r="N773" i="11" s="1"/>
  <c r="O775" i="11"/>
  <c r="P775" i="11"/>
  <c r="L780" i="11"/>
  <c r="O780" i="11" s="1"/>
  <c r="M780" i="11"/>
  <c r="N780" i="11"/>
  <c r="P780" i="11"/>
  <c r="O781" i="11"/>
  <c r="P781" i="11"/>
  <c r="O782" i="11"/>
  <c r="P782" i="11"/>
  <c r="L787" i="11"/>
  <c r="M787" i="11"/>
  <c r="P787" i="11" s="1"/>
  <c r="N787" i="11"/>
  <c r="O787" i="11"/>
  <c r="M788" i="11"/>
  <c r="P788" i="11" s="1"/>
  <c r="M789" i="11"/>
  <c r="P789" i="11" s="1"/>
  <c r="O790" i="11"/>
  <c r="P790" i="11"/>
  <c r="L791" i="11"/>
  <c r="L788" i="11" s="1"/>
  <c r="O788" i="11" s="1"/>
  <c r="N791" i="11"/>
  <c r="N789" i="11" s="1"/>
  <c r="P791" i="11"/>
  <c r="L796" i="11"/>
  <c r="O796" i="11" s="1"/>
  <c r="M796" i="11"/>
  <c r="P796" i="11" s="1"/>
  <c r="N796" i="11"/>
  <c r="O797" i="11"/>
  <c r="P797" i="11"/>
  <c r="O798" i="11"/>
  <c r="P798" i="11"/>
  <c r="I800" i="11"/>
  <c r="K800" i="11" s="1"/>
  <c r="J800" i="11"/>
  <c r="J785" i="11" s="1"/>
  <c r="J801" i="11"/>
  <c r="K802" i="11"/>
  <c r="J804" i="11"/>
  <c r="K804" i="11"/>
  <c r="L806" i="11"/>
  <c r="M806" i="11"/>
  <c r="N806" i="11"/>
  <c r="P806" i="11"/>
  <c r="L807" i="11"/>
  <c r="O807" i="11" s="1"/>
  <c r="M807" i="11"/>
  <c r="P807" i="11" s="1"/>
  <c r="L808" i="11"/>
  <c r="O808" i="11" s="1"/>
  <c r="M808" i="11"/>
  <c r="P808" i="11" s="1"/>
  <c r="N808" i="11"/>
  <c r="O809" i="11"/>
  <c r="P809" i="11"/>
  <c r="N810" i="11"/>
  <c r="N807" i="11" s="1"/>
  <c r="O810" i="11"/>
  <c r="P810" i="11"/>
  <c r="L815" i="11"/>
  <c r="O815" i="11" s="1"/>
  <c r="M815" i="11"/>
  <c r="P815" i="11" s="1"/>
  <c r="N815" i="11"/>
  <c r="O816" i="11"/>
  <c r="P816" i="11"/>
  <c r="O817" i="11"/>
  <c r="P817" i="11"/>
  <c r="H820" i="11"/>
  <c r="I821" i="11"/>
  <c r="J821" i="11"/>
  <c r="I822" i="11"/>
  <c r="J822" i="11"/>
  <c r="I823" i="11"/>
  <c r="J823" i="11"/>
  <c r="I824" i="11"/>
  <c r="J824" i="11"/>
  <c r="I825" i="11"/>
  <c r="J825" i="11"/>
  <c r="I826" i="11"/>
  <c r="J826" i="11"/>
  <c r="I827" i="11"/>
  <c r="J827" i="11"/>
  <c r="I828" i="11"/>
  <c r="J828" i="11"/>
  <c r="L15" i="10"/>
  <c r="L22" i="10"/>
  <c r="M22" i="10"/>
  <c r="N22" i="10"/>
  <c r="P22" i="10"/>
  <c r="L25" i="10"/>
  <c r="M25" i="10"/>
  <c r="M15" i="10" s="1"/>
  <c r="N25" i="10"/>
  <c r="N15" i="10" s="1"/>
  <c r="O25" i="10"/>
  <c r="L32" i="10"/>
  <c r="M32" i="10"/>
  <c r="M29" i="10" s="1"/>
  <c r="N32" i="10"/>
  <c r="N29" i="10" s="1"/>
  <c r="O32" i="10"/>
  <c r="N34" i="10"/>
  <c r="L35" i="10"/>
  <c r="M35" i="10"/>
  <c r="M34" i="10" s="1"/>
  <c r="P34" i="10" s="1"/>
  <c r="N35" i="10"/>
  <c r="P35" i="10"/>
  <c r="M36" i="10"/>
  <c r="P36" i="10" s="1"/>
  <c r="N36" i="10"/>
  <c r="L42" i="10"/>
  <c r="M42" i="10"/>
  <c r="N42" i="10"/>
  <c r="O42" i="10"/>
  <c r="P42" i="10"/>
  <c r="O45" i="10"/>
  <c r="P45" i="10"/>
  <c r="L46" i="10"/>
  <c r="L44" i="10" s="1"/>
  <c r="M46" i="10"/>
  <c r="N46" i="10"/>
  <c r="O48" i="10"/>
  <c r="P48" i="10"/>
  <c r="L49" i="10"/>
  <c r="L47" i="10" s="1"/>
  <c r="O47" i="10" s="1"/>
  <c r="M49" i="10"/>
  <c r="M47" i="10" s="1"/>
  <c r="P47" i="10" s="1"/>
  <c r="N49" i="10"/>
  <c r="N47" i="10" s="1"/>
  <c r="L54" i="10"/>
  <c r="O54" i="10" s="1"/>
  <c r="M54" i="10"/>
  <c r="N54" i="10"/>
  <c r="O57" i="10"/>
  <c r="P57" i="10"/>
  <c r="L58" i="10"/>
  <c r="M58" i="10"/>
  <c r="N58" i="10"/>
  <c r="O60" i="10"/>
  <c r="P60" i="10"/>
  <c r="L61" i="10"/>
  <c r="O61" i="10" s="1"/>
  <c r="M61" i="10"/>
  <c r="N61" i="10"/>
  <c r="J64" i="10"/>
  <c r="L67" i="10"/>
  <c r="M67" i="10"/>
  <c r="N67" i="10"/>
  <c r="O67" i="10"/>
  <c r="P67" i="10"/>
  <c r="O70" i="10"/>
  <c r="P70" i="10"/>
  <c r="L71" i="10"/>
  <c r="L69" i="10" s="1"/>
  <c r="O69" i="10" s="1"/>
  <c r="M71" i="10"/>
  <c r="M69" i="10" s="1"/>
  <c r="P69" i="10" s="1"/>
  <c r="N71" i="10"/>
  <c r="N69" i="10" s="1"/>
  <c r="O73" i="10"/>
  <c r="P73" i="10"/>
  <c r="L74" i="10"/>
  <c r="L72" i="10" s="1"/>
  <c r="O72" i="10" s="1"/>
  <c r="M74" i="10"/>
  <c r="M72" i="10" s="1"/>
  <c r="P72" i="10" s="1"/>
  <c r="N74" i="10"/>
  <c r="N72" i="10" s="1"/>
  <c r="J76" i="10"/>
  <c r="J77" i="10"/>
  <c r="J65" i="10" s="1"/>
  <c r="I78" i="10"/>
  <c r="K78" i="10" s="1"/>
  <c r="I79" i="10"/>
  <c r="K79" i="10" s="1"/>
  <c r="I80" i="10"/>
  <c r="I81" i="10"/>
  <c r="I82" i="10"/>
  <c r="K82" i="10" s="1"/>
  <c r="I83" i="10"/>
  <c r="K83" i="10" s="1"/>
  <c r="I84" i="10"/>
  <c r="K84" i="10" s="1"/>
  <c r="J87" i="10"/>
  <c r="L89" i="10"/>
  <c r="M89" i="10"/>
  <c r="N89" i="10"/>
  <c r="O89" i="10"/>
  <c r="P89" i="10"/>
  <c r="O92" i="10"/>
  <c r="P92" i="10"/>
  <c r="L93" i="10"/>
  <c r="L91" i="10" s="1"/>
  <c r="M93" i="10"/>
  <c r="M91" i="10" s="1"/>
  <c r="N93" i="10"/>
  <c r="N91" i="10" s="1"/>
  <c r="O95" i="10"/>
  <c r="P95" i="10"/>
  <c r="L96" i="10"/>
  <c r="O96" i="10" s="1"/>
  <c r="M96" i="10"/>
  <c r="M94" i="10" s="1"/>
  <c r="P94" i="10" s="1"/>
  <c r="N96" i="10"/>
  <c r="N94" i="10" s="1"/>
  <c r="I98" i="10"/>
  <c r="J98" i="10"/>
  <c r="J86" i="10" s="1"/>
  <c r="I99" i="10"/>
  <c r="K99" i="10" s="1"/>
  <c r="J99" i="10"/>
  <c r="I100" i="10"/>
  <c r="J100" i="10"/>
  <c r="I102" i="10"/>
  <c r="K102" i="10" s="1"/>
  <c r="I103" i="10"/>
  <c r="K103" i="10" s="1"/>
  <c r="I104" i="10"/>
  <c r="K104" i="10" s="1"/>
  <c r="I106" i="10"/>
  <c r="K106" i="10" s="1"/>
  <c r="I107" i="10"/>
  <c r="K107" i="10" s="1"/>
  <c r="I109" i="10"/>
  <c r="K109" i="10" s="1"/>
  <c r="I110" i="10"/>
  <c r="K110" i="10" s="1"/>
  <c r="I111" i="10"/>
  <c r="K111" i="10" s="1"/>
  <c r="J111" i="10"/>
  <c r="J112" i="10"/>
  <c r="I113" i="10"/>
  <c r="K113" i="10" s="1"/>
  <c r="I114" i="10"/>
  <c r="K114" i="10" s="1"/>
  <c r="I115" i="10"/>
  <c r="I116" i="10"/>
  <c r="K116" i="10" s="1"/>
  <c r="L120" i="10"/>
  <c r="O120" i="10" s="1"/>
  <c r="M120" i="10"/>
  <c r="N120" i="10"/>
  <c r="O123" i="10"/>
  <c r="P123" i="10"/>
  <c r="L124" i="10"/>
  <c r="O124" i="10" s="1"/>
  <c r="M124" i="10"/>
  <c r="N124" i="10"/>
  <c r="O126" i="10"/>
  <c r="P126" i="10"/>
  <c r="L127" i="10"/>
  <c r="O127" i="10" s="1"/>
  <c r="M127" i="10"/>
  <c r="N127" i="10"/>
  <c r="N125" i="10" s="1"/>
  <c r="J130" i="10"/>
  <c r="L133" i="10"/>
  <c r="M133" i="10"/>
  <c r="N133" i="10"/>
  <c r="O133" i="10"/>
  <c r="P133" i="10"/>
  <c r="O136" i="10"/>
  <c r="P136" i="10"/>
  <c r="L137" i="10"/>
  <c r="M137" i="10"/>
  <c r="M135" i="10" s="1"/>
  <c r="P135" i="10" s="1"/>
  <c r="N137" i="10"/>
  <c r="N135" i="10" s="1"/>
  <c r="O139" i="10"/>
  <c r="P139" i="10"/>
  <c r="L140" i="10"/>
  <c r="L138" i="10" s="1"/>
  <c r="O138" i="10" s="1"/>
  <c r="M140" i="10"/>
  <c r="M138" i="10" s="1"/>
  <c r="P138" i="10" s="1"/>
  <c r="N140" i="10"/>
  <c r="N138" i="10" s="1"/>
  <c r="I144" i="10"/>
  <c r="K144" i="10" s="1"/>
  <c r="I145" i="10"/>
  <c r="I146" i="10"/>
  <c r="K146" i="10" s="1"/>
  <c r="J148" i="10"/>
  <c r="L150" i="10"/>
  <c r="O150" i="10" s="1"/>
  <c r="M150" i="10"/>
  <c r="N150" i="10"/>
  <c r="O153" i="10"/>
  <c r="P153" i="10"/>
  <c r="L154" i="10"/>
  <c r="O154" i="10" s="1"/>
  <c r="M154" i="10"/>
  <c r="N154" i="10"/>
  <c r="N152" i="10" s="1"/>
  <c r="O156" i="10"/>
  <c r="P156" i="10"/>
  <c r="L157" i="10"/>
  <c r="O157" i="10" s="1"/>
  <c r="M157" i="10"/>
  <c r="N157" i="10"/>
  <c r="N155" i="10" s="1"/>
  <c r="I159" i="10"/>
  <c r="I148" i="10" s="1"/>
  <c r="K148" i="10" s="1"/>
  <c r="J164" i="10"/>
  <c r="L166" i="10"/>
  <c r="M166" i="10"/>
  <c r="N166" i="10"/>
  <c r="O166" i="10"/>
  <c r="P166" i="10"/>
  <c r="O169" i="10"/>
  <c r="P169" i="10"/>
  <c r="L170" i="10"/>
  <c r="M170" i="10"/>
  <c r="M168" i="10" s="1"/>
  <c r="N170" i="10"/>
  <c r="N168" i="10" s="1"/>
  <c r="O172" i="10"/>
  <c r="P172" i="10"/>
  <c r="L173" i="10"/>
  <c r="O173" i="10" s="1"/>
  <c r="M173" i="10"/>
  <c r="M171" i="10" s="1"/>
  <c r="P171" i="10" s="1"/>
  <c r="N173" i="10"/>
  <c r="N171" i="10" s="1"/>
  <c r="J174" i="10"/>
  <c r="I176" i="10"/>
  <c r="I174" i="10" s="1"/>
  <c r="J177" i="10"/>
  <c r="L182" i="10"/>
  <c r="M182" i="10"/>
  <c r="N182" i="10"/>
  <c r="O182" i="10"/>
  <c r="P182" i="10"/>
  <c r="O185" i="10"/>
  <c r="P185" i="10"/>
  <c r="L186" i="10"/>
  <c r="L184" i="10" s="1"/>
  <c r="M186" i="10"/>
  <c r="N186" i="10"/>
  <c r="N184" i="10" s="1"/>
  <c r="O188" i="10"/>
  <c r="P188" i="10"/>
  <c r="L189" i="10"/>
  <c r="O189" i="10" s="1"/>
  <c r="M189" i="10"/>
  <c r="M187" i="10" s="1"/>
  <c r="P187" i="10" s="1"/>
  <c r="N189" i="10"/>
  <c r="N187" i="10" s="1"/>
  <c r="J190" i="10"/>
  <c r="L191" i="10"/>
  <c r="O191" i="10" s="1"/>
  <c r="P191" i="10"/>
  <c r="I193" i="10"/>
  <c r="K193" i="10" s="1"/>
  <c r="J194" i="10"/>
  <c r="J197" i="10"/>
  <c r="N198" i="10"/>
  <c r="P198" i="10"/>
  <c r="L199" i="10"/>
  <c r="L200" i="10"/>
  <c r="L201" i="10"/>
  <c r="L202" i="10"/>
  <c r="I204" i="10"/>
  <c r="I197" i="10" s="1"/>
  <c r="K197" i="10" s="1"/>
  <c r="J208" i="10"/>
  <c r="N209" i="10"/>
  <c r="P209" i="10"/>
  <c r="L210" i="10"/>
  <c r="L211" i="10"/>
  <c r="L212" i="10"/>
  <c r="I214" i="10"/>
  <c r="K214" i="10" s="1"/>
  <c r="I215" i="10"/>
  <c r="I208" i="10" s="1"/>
  <c r="K208" i="10" s="1"/>
  <c r="J216" i="10"/>
  <c r="N217" i="10"/>
  <c r="P217" i="10"/>
  <c r="L218" i="10"/>
  <c r="L219" i="10"/>
  <c r="L220" i="10"/>
  <c r="I223" i="10"/>
  <c r="K223" i="10" s="1"/>
  <c r="I224" i="10"/>
  <c r="I216" i="10" s="1"/>
  <c r="K216" i="10" s="1"/>
  <c r="I225" i="10"/>
  <c r="K225" i="10" s="1"/>
  <c r="N228" i="10"/>
  <c r="N229" i="10"/>
  <c r="N230" i="10"/>
  <c r="N231" i="10"/>
  <c r="J233" i="10"/>
  <c r="I235" i="10"/>
  <c r="J235" i="10"/>
  <c r="K235" i="10"/>
  <c r="I236" i="10"/>
  <c r="J236" i="10"/>
  <c r="K236" i="10"/>
  <c r="J237" i="10"/>
  <c r="N238" i="10"/>
  <c r="N227" i="10" s="1"/>
  <c r="P238" i="10"/>
  <c r="L239" i="10"/>
  <c r="L240" i="10"/>
  <c r="L241" i="10"/>
  <c r="L242" i="10"/>
  <c r="I244" i="10"/>
  <c r="K246" i="10"/>
  <c r="K247" i="10"/>
  <c r="J248" i="10"/>
  <c r="J226" i="10" s="1"/>
  <c r="J180" i="10" s="1"/>
  <c r="N249" i="10"/>
  <c r="P249" i="10"/>
  <c r="L250" i="10"/>
  <c r="L251" i="10"/>
  <c r="L252" i="10"/>
  <c r="L253" i="10"/>
  <c r="I255" i="10"/>
  <c r="K255" i="10" s="1"/>
  <c r="K257" i="10"/>
  <c r="K258" i="10"/>
  <c r="J260" i="10"/>
  <c r="L262" i="10"/>
  <c r="M262" i="10"/>
  <c r="P262" i="10" s="1"/>
  <c r="N262" i="10"/>
  <c r="O262" i="10"/>
  <c r="O265" i="10"/>
  <c r="P265" i="10"/>
  <c r="L266" i="10"/>
  <c r="L264" i="10" s="1"/>
  <c r="M266" i="10"/>
  <c r="N266" i="10"/>
  <c r="N264" i="10" s="1"/>
  <c r="O268" i="10"/>
  <c r="P268" i="10"/>
  <c r="L269" i="10"/>
  <c r="L267" i="10" s="1"/>
  <c r="O267" i="10" s="1"/>
  <c r="M269" i="10"/>
  <c r="M267" i="10" s="1"/>
  <c r="P267" i="10" s="1"/>
  <c r="N269" i="10"/>
  <c r="N267" i="10" s="1"/>
  <c r="I271" i="10"/>
  <c r="I260" i="10" s="1"/>
  <c r="K260" i="10" s="1"/>
  <c r="J276" i="10"/>
  <c r="L278" i="10"/>
  <c r="M278" i="10"/>
  <c r="N278" i="10"/>
  <c r="O278" i="10"/>
  <c r="P278" i="10"/>
  <c r="O281" i="10"/>
  <c r="P281" i="10"/>
  <c r="L282" i="10"/>
  <c r="O282" i="10" s="1"/>
  <c r="M282" i="10"/>
  <c r="M280" i="10" s="1"/>
  <c r="P280" i="10" s="1"/>
  <c r="N282" i="10"/>
  <c r="O284" i="10"/>
  <c r="P284" i="10"/>
  <c r="L285" i="10"/>
  <c r="L283" i="10" s="1"/>
  <c r="O283" i="10" s="1"/>
  <c r="M285" i="10"/>
  <c r="N285" i="10"/>
  <c r="N283" i="10" s="1"/>
  <c r="I287" i="10"/>
  <c r="I276" i="10" s="1"/>
  <c r="K276" i="10" s="1"/>
  <c r="I288" i="10"/>
  <c r="K288" i="10" s="1"/>
  <c r="I290" i="10"/>
  <c r="K290" i="10" s="1"/>
  <c r="I291" i="10"/>
  <c r="K291" i="10" s="1"/>
  <c r="I293" i="10"/>
  <c r="K293" i="10" s="1"/>
  <c r="I294" i="10"/>
  <c r="K294" i="10" s="1"/>
  <c r="J297" i="10"/>
  <c r="L299" i="10"/>
  <c r="M299" i="10"/>
  <c r="P299" i="10" s="1"/>
  <c r="N299" i="10"/>
  <c r="O299" i="10"/>
  <c r="O302" i="10"/>
  <c r="P302" i="10"/>
  <c r="L303" i="10"/>
  <c r="L301" i="10" s="1"/>
  <c r="O301" i="10" s="1"/>
  <c r="M303" i="10"/>
  <c r="M301" i="10" s="1"/>
  <c r="P301" i="10" s="1"/>
  <c r="N303" i="10"/>
  <c r="N301" i="10" s="1"/>
  <c r="O305" i="10"/>
  <c r="P305" i="10"/>
  <c r="L306" i="10"/>
  <c r="L304" i="10" s="1"/>
  <c r="O304" i="10" s="1"/>
  <c r="M306" i="10"/>
  <c r="P306" i="10" s="1"/>
  <c r="N306" i="10"/>
  <c r="N304" i="10" s="1"/>
  <c r="I309" i="10"/>
  <c r="K309" i="10" s="1"/>
  <c r="I310" i="10"/>
  <c r="K310" i="10" s="1"/>
  <c r="I311" i="10"/>
  <c r="K311" i="10" s="1"/>
  <c r="I312" i="10"/>
  <c r="K312" i="10" s="1"/>
  <c r="J314" i="10"/>
  <c r="L316" i="10"/>
  <c r="M316" i="10"/>
  <c r="P316" i="10" s="1"/>
  <c r="N316" i="10"/>
  <c r="O316" i="10"/>
  <c r="O319" i="10"/>
  <c r="P319" i="10"/>
  <c r="L320" i="10"/>
  <c r="L318" i="10" s="1"/>
  <c r="O318" i="10" s="1"/>
  <c r="M320" i="10"/>
  <c r="P320" i="10" s="1"/>
  <c r="N320" i="10"/>
  <c r="N318" i="10" s="1"/>
  <c r="O322" i="10"/>
  <c r="P322" i="10"/>
  <c r="L323" i="10"/>
  <c r="L321" i="10" s="1"/>
  <c r="O321" i="10" s="1"/>
  <c r="M323" i="10"/>
  <c r="M321" i="10" s="1"/>
  <c r="P321" i="10" s="1"/>
  <c r="N323" i="10"/>
  <c r="I325" i="10"/>
  <c r="I314" i="10" s="1"/>
  <c r="K314" i="10" s="1"/>
  <c r="I327" i="10"/>
  <c r="L329" i="10"/>
  <c r="O329" i="10" s="1"/>
  <c r="M329" i="10"/>
  <c r="N329" i="10"/>
  <c r="P329" i="10"/>
  <c r="O332" i="10"/>
  <c r="P332" i="10"/>
  <c r="L333" i="10"/>
  <c r="M333" i="10"/>
  <c r="M331" i="10" s="1"/>
  <c r="N333" i="10"/>
  <c r="N331" i="10" s="1"/>
  <c r="O335" i="10"/>
  <c r="P335" i="10"/>
  <c r="L336" i="10"/>
  <c r="O336" i="10" s="1"/>
  <c r="M336" i="10"/>
  <c r="M334" i="10" s="1"/>
  <c r="P334" i="10" s="1"/>
  <c r="N336" i="10"/>
  <c r="N334" i="10" s="1"/>
  <c r="D337" i="10"/>
  <c r="I338" i="10"/>
  <c r="J338" i="10"/>
  <c r="I340" i="10"/>
  <c r="J340" i="10"/>
  <c r="J341" i="10"/>
  <c r="J342" i="10"/>
  <c r="J343" i="10"/>
  <c r="L346" i="10"/>
  <c r="M346" i="10"/>
  <c r="N346" i="10"/>
  <c r="O346" i="10"/>
  <c r="P346" i="10"/>
  <c r="O349" i="10"/>
  <c r="P349" i="10"/>
  <c r="L350" i="10"/>
  <c r="L348" i="10" s="1"/>
  <c r="M350" i="10"/>
  <c r="M348" i="10" s="1"/>
  <c r="N350" i="10"/>
  <c r="N348" i="10" s="1"/>
  <c r="O352" i="10"/>
  <c r="P352" i="10"/>
  <c r="L353" i="10"/>
  <c r="L351" i="10" s="1"/>
  <c r="M353" i="10"/>
  <c r="M351" i="10" s="1"/>
  <c r="N353" i="10"/>
  <c r="N351" i="10" s="1"/>
  <c r="I355" i="10"/>
  <c r="J358" i="10"/>
  <c r="K358" i="10"/>
  <c r="I359" i="10"/>
  <c r="J359" i="10"/>
  <c r="I360" i="10"/>
  <c r="J360" i="10"/>
  <c r="J361" i="10"/>
  <c r="K361" i="10"/>
  <c r="I362" i="10"/>
  <c r="J362" i="10"/>
  <c r="J355" i="10" s="1"/>
  <c r="J363" i="10"/>
  <c r="K363" i="10"/>
  <c r="I365" i="10"/>
  <c r="J368" i="10"/>
  <c r="K368" i="10"/>
  <c r="I369" i="10"/>
  <c r="J369" i="10"/>
  <c r="I370" i="10"/>
  <c r="J370" i="10"/>
  <c r="J371" i="10"/>
  <c r="K371" i="10"/>
  <c r="I372" i="10"/>
  <c r="J372" i="10"/>
  <c r="J365" i="10" s="1"/>
  <c r="A373" i="10"/>
  <c r="J373" i="10"/>
  <c r="K373" i="10"/>
  <c r="I374" i="10"/>
  <c r="J377" i="10"/>
  <c r="K377" i="10"/>
  <c r="I378" i="10"/>
  <c r="J378" i="10"/>
  <c r="I379" i="10"/>
  <c r="J379" i="10"/>
  <c r="J380" i="10"/>
  <c r="K380" i="10"/>
  <c r="I381" i="10"/>
  <c r="J381" i="10"/>
  <c r="J374" i="10" s="1"/>
  <c r="A382" i="10"/>
  <c r="J382" i="10"/>
  <c r="K382" i="10"/>
  <c r="D384" i="10"/>
  <c r="I385" i="10"/>
  <c r="J385" i="10"/>
  <c r="I388" i="10"/>
  <c r="J388" i="10"/>
  <c r="K388" i="10"/>
  <c r="L390" i="10"/>
  <c r="M390" i="10"/>
  <c r="P390" i="10" s="1"/>
  <c r="N390" i="10"/>
  <c r="O393" i="10"/>
  <c r="P393" i="10"/>
  <c r="L394" i="10"/>
  <c r="L392" i="10" s="1"/>
  <c r="O392" i="10" s="1"/>
  <c r="M394" i="10"/>
  <c r="M392" i="10" s="1"/>
  <c r="P392" i="10" s="1"/>
  <c r="N394" i="10"/>
  <c r="N392" i="10" s="1"/>
  <c r="O396" i="10"/>
  <c r="P396" i="10"/>
  <c r="L397" i="10"/>
  <c r="L395" i="10" s="1"/>
  <c r="O395" i="10" s="1"/>
  <c r="M397" i="10"/>
  <c r="M395" i="10" s="1"/>
  <c r="P395" i="10" s="1"/>
  <c r="N397" i="10"/>
  <c r="N395" i="10" s="1"/>
  <c r="K399" i="10"/>
  <c r="K400" i="10"/>
  <c r="I401" i="10"/>
  <c r="J401" i="10"/>
  <c r="K401" i="10"/>
  <c r="L403" i="10"/>
  <c r="M403" i="10"/>
  <c r="P403" i="10" s="1"/>
  <c r="N403" i="10"/>
  <c r="O403" i="10"/>
  <c r="O406" i="10"/>
  <c r="P406" i="10"/>
  <c r="L407" i="10"/>
  <c r="O407" i="10" s="1"/>
  <c r="M407" i="10"/>
  <c r="M405" i="10" s="1"/>
  <c r="P405" i="10" s="1"/>
  <c r="N407" i="10"/>
  <c r="N405" i="10" s="1"/>
  <c r="O409" i="10"/>
  <c r="P409" i="10"/>
  <c r="L410" i="10"/>
  <c r="O410" i="10" s="1"/>
  <c r="M410" i="10"/>
  <c r="N410" i="10"/>
  <c r="K412" i="10"/>
  <c r="K413" i="10"/>
  <c r="J418" i="10"/>
  <c r="L420" i="10"/>
  <c r="M420" i="10"/>
  <c r="P420" i="10" s="1"/>
  <c r="N420" i="10"/>
  <c r="N421" i="10"/>
  <c r="N419" i="10" s="1"/>
  <c r="O423" i="10"/>
  <c r="P423" i="10"/>
  <c r="L424" i="10"/>
  <c r="O424" i="10" s="1"/>
  <c r="N424" i="10"/>
  <c r="M429" i="10"/>
  <c r="N429" i="10"/>
  <c r="P429" i="10"/>
  <c r="O430" i="10"/>
  <c r="P430" i="10"/>
  <c r="L431" i="10"/>
  <c r="L429" i="10" s="1"/>
  <c r="O429" i="10" s="1"/>
  <c r="P431" i="10"/>
  <c r="J434" i="10"/>
  <c r="I435" i="10"/>
  <c r="I433" i="10" s="1"/>
  <c r="I417" i="10" s="1"/>
  <c r="I437" i="10"/>
  <c r="K437" i="10" s="1"/>
  <c r="I438" i="10"/>
  <c r="K438" i="10" s="1"/>
  <c r="I439" i="10"/>
  <c r="K439" i="10" s="1"/>
  <c r="I440" i="10"/>
  <c r="K440" i="10" s="1"/>
  <c r="I441" i="10"/>
  <c r="K441" i="10" s="1"/>
  <c r="J442" i="10"/>
  <c r="J443" i="10"/>
  <c r="L445" i="10"/>
  <c r="O445" i="10" s="1"/>
  <c r="M445" i="10"/>
  <c r="N445" i="10"/>
  <c r="P445" i="10"/>
  <c r="O448" i="10"/>
  <c r="P448" i="10"/>
  <c r="L449" i="10"/>
  <c r="N449" i="10"/>
  <c r="N447" i="10" s="1"/>
  <c r="M454" i="10"/>
  <c r="N454" i="10"/>
  <c r="P454" i="10"/>
  <c r="O455" i="10"/>
  <c r="P455" i="10"/>
  <c r="L456" i="10"/>
  <c r="O456" i="10" s="1"/>
  <c r="P456" i="10"/>
  <c r="K458" i="10"/>
  <c r="I460" i="10"/>
  <c r="I442" i="10" s="1"/>
  <c r="I462" i="10"/>
  <c r="K462" i="10" s="1"/>
  <c r="I463" i="10"/>
  <c r="I464" i="10"/>
  <c r="I465" i="10"/>
  <c r="K465" i="10" s="1"/>
  <c r="J465" i="10"/>
  <c r="I466" i="10"/>
  <c r="K466" i="10" s="1"/>
  <c r="J466" i="10"/>
  <c r="L468" i="10"/>
  <c r="O468" i="10" s="1"/>
  <c r="M468" i="10"/>
  <c r="N468" i="10"/>
  <c r="N467" i="10" s="1"/>
  <c r="P468" i="10"/>
  <c r="N470" i="10"/>
  <c r="O471" i="10"/>
  <c r="P471" i="10"/>
  <c r="L472" i="10"/>
  <c r="L470" i="10" s="1"/>
  <c r="O470" i="10" s="1"/>
  <c r="N472" i="10"/>
  <c r="N469" i="10" s="1"/>
  <c r="M477" i="10"/>
  <c r="N477" i="10"/>
  <c r="P477" i="10"/>
  <c r="O478" i="10"/>
  <c r="P478" i="10"/>
  <c r="L479" i="10"/>
  <c r="P479" i="10"/>
  <c r="I483" i="10"/>
  <c r="K483" i="10" s="1"/>
  <c r="I485" i="10"/>
  <c r="K485" i="10" s="1"/>
  <c r="I487" i="10"/>
  <c r="K487" i="10" s="1"/>
  <c r="I489" i="10"/>
  <c r="K489" i="10" s="1"/>
  <c r="I492" i="10"/>
  <c r="K492" i="10" s="1"/>
  <c r="I495" i="10"/>
  <c r="K495" i="10" s="1"/>
  <c r="I498" i="10"/>
  <c r="K498" i="10" s="1"/>
  <c r="J500" i="10"/>
  <c r="K500" i="10"/>
  <c r="J501" i="10"/>
  <c r="K501" i="10"/>
  <c r="M502" i="10"/>
  <c r="P502" i="10"/>
  <c r="L503" i="10"/>
  <c r="M503" i="10"/>
  <c r="N503" i="10"/>
  <c r="O503" i="10"/>
  <c r="P503" i="10"/>
  <c r="L504" i="10"/>
  <c r="L502" i="10" s="1"/>
  <c r="O502" i="10" s="1"/>
  <c r="M504" i="10"/>
  <c r="P504" i="10"/>
  <c r="L505" i="10"/>
  <c r="O505" i="10" s="1"/>
  <c r="M505" i="10"/>
  <c r="P505" i="10" s="1"/>
  <c r="O506" i="10"/>
  <c r="P506" i="10"/>
  <c r="N507" i="10"/>
  <c r="N505" i="10" s="1"/>
  <c r="O507" i="10"/>
  <c r="P507" i="10"/>
  <c r="L512" i="10"/>
  <c r="M512" i="10"/>
  <c r="P512" i="10" s="1"/>
  <c r="N512" i="10"/>
  <c r="O512" i="10"/>
  <c r="O513" i="10"/>
  <c r="P513" i="10"/>
  <c r="O514" i="10"/>
  <c r="P514" i="10"/>
  <c r="K516" i="10"/>
  <c r="J517" i="10"/>
  <c r="K517" i="10"/>
  <c r="P523" i="10"/>
  <c r="L524" i="10"/>
  <c r="M524" i="10"/>
  <c r="M523" i="10" s="1"/>
  <c r="N524" i="10"/>
  <c r="O524" i="10"/>
  <c r="P524" i="10"/>
  <c r="M525" i="10"/>
  <c r="P525" i="10"/>
  <c r="M526" i="10"/>
  <c r="P526" i="10" s="1"/>
  <c r="O527" i="10"/>
  <c r="P527" i="10"/>
  <c r="L528" i="10"/>
  <c r="L526" i="10" s="1"/>
  <c r="O526" i="10" s="1"/>
  <c r="N528" i="10"/>
  <c r="N526" i="10" s="1"/>
  <c r="P528" i="10"/>
  <c r="M533" i="10"/>
  <c r="N533" i="10"/>
  <c r="P533" i="10"/>
  <c r="O534" i="10"/>
  <c r="P534" i="10"/>
  <c r="L535" i="10"/>
  <c r="O535" i="10" s="1"/>
  <c r="P535" i="10"/>
  <c r="I537" i="10"/>
  <c r="I522" i="10" s="1"/>
  <c r="K522" i="10" s="1"/>
  <c r="I538" i="10"/>
  <c r="K538" i="10" s="1"/>
  <c r="I539" i="10"/>
  <c r="K539" i="10" s="1"/>
  <c r="I540" i="10"/>
  <c r="K540" i="10" s="1"/>
  <c r="I541" i="10"/>
  <c r="K541" i="10" s="1"/>
  <c r="I542" i="10"/>
  <c r="K542" i="10" s="1"/>
  <c r="L545" i="10"/>
  <c r="M545" i="10"/>
  <c r="P545" i="10" s="1"/>
  <c r="N545" i="10"/>
  <c r="O545" i="10"/>
  <c r="O548" i="10"/>
  <c r="P548" i="10"/>
  <c r="L549" i="10"/>
  <c r="M549" i="10" s="1"/>
  <c r="N549" i="10"/>
  <c r="N547" i="10" s="1"/>
  <c r="M555" i="10"/>
  <c r="N555" i="10"/>
  <c r="P555" i="10"/>
  <c r="O556" i="10"/>
  <c r="P556" i="10"/>
  <c r="L557" i="10"/>
  <c r="O557" i="10" s="1"/>
  <c r="P557" i="10"/>
  <c r="I560" i="10"/>
  <c r="K560" i="10" s="1"/>
  <c r="J560" i="10"/>
  <c r="I561" i="10"/>
  <c r="K561" i="10" s="1"/>
  <c r="J561" i="10"/>
  <c r="I568" i="10"/>
  <c r="K568" i="10" s="1"/>
  <c r="J568" i="10"/>
  <c r="I569" i="10"/>
  <c r="K569" i="10" s="1"/>
  <c r="J569" i="10"/>
  <c r="I576" i="10"/>
  <c r="I559" i="10" s="1"/>
  <c r="I543" i="10" s="1"/>
  <c r="K543" i="10" s="1"/>
  <c r="I577" i="10"/>
  <c r="K577" i="10" s="1"/>
  <c r="J577" i="10"/>
  <c r="J582" i="10"/>
  <c r="J576" i="10" s="1"/>
  <c r="J559" i="10" s="1"/>
  <c r="J543" i="10" s="1"/>
  <c r="J583" i="10"/>
  <c r="J592" i="10"/>
  <c r="I593" i="10"/>
  <c r="I592" i="10" s="1"/>
  <c r="K592" i="10" s="1"/>
  <c r="J593" i="10"/>
  <c r="I594" i="10"/>
  <c r="K594" i="10" s="1"/>
  <c r="J594" i="10"/>
  <c r="J595" i="10"/>
  <c r="J596" i="10"/>
  <c r="J603" i="10"/>
  <c r="J604" i="10"/>
  <c r="J611" i="10"/>
  <c r="K611" i="10"/>
  <c r="J612" i="10"/>
  <c r="K612" i="10"/>
  <c r="J613" i="10"/>
  <c r="K613" i="10"/>
  <c r="I620" i="10"/>
  <c r="K620" i="10" s="1"/>
  <c r="J620" i="10"/>
  <c r="I621" i="10"/>
  <c r="K621" i="10" s="1"/>
  <c r="J621" i="10"/>
  <c r="N629" i="10"/>
  <c r="L630" i="10"/>
  <c r="M630" i="10"/>
  <c r="M629" i="10" s="1"/>
  <c r="P629" i="10" s="1"/>
  <c r="N630" i="10"/>
  <c r="O630" i="10"/>
  <c r="P630" i="10"/>
  <c r="M631" i="10"/>
  <c r="N631" i="10"/>
  <c r="P631" i="10"/>
  <c r="M632" i="10"/>
  <c r="P632" i="10" s="1"/>
  <c r="O633" i="10"/>
  <c r="P633" i="10"/>
  <c r="L634" i="10"/>
  <c r="N634" i="10"/>
  <c r="N632" i="10" s="1"/>
  <c r="P634" i="10"/>
  <c r="M639" i="10"/>
  <c r="P639" i="10" s="1"/>
  <c r="N639" i="10"/>
  <c r="O640" i="10"/>
  <c r="P640" i="10"/>
  <c r="L641" i="10"/>
  <c r="L639" i="10" s="1"/>
  <c r="O639" i="10" s="1"/>
  <c r="P641" i="10"/>
  <c r="I643" i="10"/>
  <c r="K643" i="10" s="1"/>
  <c r="I644" i="10"/>
  <c r="K644" i="10" s="1"/>
  <c r="J645" i="10"/>
  <c r="K645" i="10"/>
  <c r="J646" i="10"/>
  <c r="K646" i="10"/>
  <c r="I647" i="10"/>
  <c r="K647" i="10" s="1"/>
  <c r="J647" i="10"/>
  <c r="J648" i="10"/>
  <c r="K648" i="10"/>
  <c r="I649" i="10"/>
  <c r="K649" i="10" s="1"/>
  <c r="J649" i="10"/>
  <c r="J650" i="10"/>
  <c r="K650" i="10"/>
  <c r="I651" i="10"/>
  <c r="I628" i="10" s="1"/>
  <c r="K628" i="10" s="1"/>
  <c r="J651" i="10"/>
  <c r="J628" i="10" s="1"/>
  <c r="J652" i="10"/>
  <c r="K652" i="10"/>
  <c r="M655" i="10"/>
  <c r="P655" i="10" s="1"/>
  <c r="L656" i="10"/>
  <c r="M656" i="10"/>
  <c r="P656" i="10" s="1"/>
  <c r="N656" i="10"/>
  <c r="N655" i="10" s="1"/>
  <c r="O656" i="10"/>
  <c r="M657" i="10"/>
  <c r="N657" i="10"/>
  <c r="P657" i="10"/>
  <c r="M658" i="10"/>
  <c r="P658" i="10"/>
  <c r="O659" i="10"/>
  <c r="P659" i="10"/>
  <c r="L660" i="10"/>
  <c r="L658" i="10" s="1"/>
  <c r="O658" i="10" s="1"/>
  <c r="N660" i="10"/>
  <c r="N658" i="10" s="1"/>
  <c r="P660" i="10"/>
  <c r="L665" i="10"/>
  <c r="O665" i="10" s="1"/>
  <c r="M665" i="10"/>
  <c r="N665" i="10"/>
  <c r="P665" i="10"/>
  <c r="O666" i="10"/>
  <c r="P666" i="10"/>
  <c r="O667" i="10"/>
  <c r="P667" i="10"/>
  <c r="I669" i="10"/>
  <c r="I654" i="10" s="1"/>
  <c r="K654" i="10" s="1"/>
  <c r="J669" i="10"/>
  <c r="J654" i="10" s="1"/>
  <c r="I670" i="10"/>
  <c r="K670" i="10" s="1"/>
  <c r="I671" i="10"/>
  <c r="K671" i="10" s="1"/>
  <c r="J675" i="10"/>
  <c r="I678" i="10"/>
  <c r="K678" i="10" s="1"/>
  <c r="J679" i="10"/>
  <c r="J678" i="10" s="1"/>
  <c r="L686" i="10"/>
  <c r="O686" i="10" s="1"/>
  <c r="M686" i="10"/>
  <c r="N686" i="10"/>
  <c r="P686" i="10"/>
  <c r="M687" i="10"/>
  <c r="P687" i="10" s="1"/>
  <c r="M688" i="10"/>
  <c r="P688" i="10" s="1"/>
  <c r="L690" i="10"/>
  <c r="L687" i="10" s="1"/>
  <c r="O687" i="10" s="1"/>
  <c r="N690" i="10"/>
  <c r="N688" i="10" s="1"/>
  <c r="P690" i="10"/>
  <c r="L695" i="10"/>
  <c r="M695" i="10"/>
  <c r="N695" i="10"/>
  <c r="O695" i="10"/>
  <c r="P695" i="10"/>
  <c r="O696" i="10"/>
  <c r="P696" i="10"/>
  <c r="O697" i="10"/>
  <c r="P697" i="10"/>
  <c r="I699" i="10"/>
  <c r="K699" i="10" s="1"/>
  <c r="J699" i="10"/>
  <c r="I700" i="10"/>
  <c r="K700" i="10" s="1"/>
  <c r="J700" i="10"/>
  <c r="I701" i="10"/>
  <c r="K701" i="10" s="1"/>
  <c r="J701" i="10"/>
  <c r="I704" i="10"/>
  <c r="I707" i="10"/>
  <c r="I708" i="10"/>
  <c r="K708" i="10" s="1"/>
  <c r="J708" i="10"/>
  <c r="J718" i="10"/>
  <c r="J719" i="10"/>
  <c r="I720" i="10"/>
  <c r="K720" i="10" s="1"/>
  <c r="J720" i="10"/>
  <c r="I721" i="10"/>
  <c r="K721" i="10" s="1"/>
  <c r="I722" i="10"/>
  <c r="K722" i="10" s="1"/>
  <c r="I723" i="10"/>
  <c r="K723" i="10" s="1"/>
  <c r="J723" i="10"/>
  <c r="J724" i="10"/>
  <c r="I725" i="10"/>
  <c r="K725" i="10" s="1"/>
  <c r="J725" i="10"/>
  <c r="I726" i="10"/>
  <c r="K726" i="10" s="1"/>
  <c r="J726" i="10"/>
  <c r="J727" i="10"/>
  <c r="I728" i="10"/>
  <c r="K728" i="10" s="1"/>
  <c r="J728" i="10"/>
  <c r="I729" i="10"/>
  <c r="K729" i="10" s="1"/>
  <c r="J729" i="10"/>
  <c r="J736" i="10"/>
  <c r="K736" i="10"/>
  <c r="L738" i="10"/>
  <c r="M738" i="10"/>
  <c r="P738" i="10" s="1"/>
  <c r="N738" i="10"/>
  <c r="L739" i="10"/>
  <c r="O739" i="10" s="1"/>
  <c r="M739" i="10"/>
  <c r="P739" i="10" s="1"/>
  <c r="L740" i="10"/>
  <c r="M740" i="10"/>
  <c r="P740" i="10" s="1"/>
  <c r="O740" i="10"/>
  <c r="O741" i="10"/>
  <c r="P741" i="10"/>
  <c r="N742" i="10"/>
  <c r="N739" i="10" s="1"/>
  <c r="N737" i="10" s="1"/>
  <c r="O742" i="10"/>
  <c r="P742" i="10"/>
  <c r="L747" i="10"/>
  <c r="M747" i="10"/>
  <c r="N747" i="10"/>
  <c r="O747" i="10"/>
  <c r="P747" i="10"/>
  <c r="O748" i="10"/>
  <c r="P748" i="10"/>
  <c r="O749" i="10"/>
  <c r="P749" i="10"/>
  <c r="J753" i="10"/>
  <c r="K753" i="10"/>
  <c r="L755" i="10"/>
  <c r="O755" i="10" s="1"/>
  <c r="M755" i="10"/>
  <c r="N755" i="10"/>
  <c r="L756" i="10"/>
  <c r="O756" i="10" s="1"/>
  <c r="M756" i="10"/>
  <c r="P756" i="10" s="1"/>
  <c r="N756" i="10"/>
  <c r="N754" i="10" s="1"/>
  <c r="L757" i="10"/>
  <c r="M757" i="10"/>
  <c r="P757" i="10" s="1"/>
  <c r="N757" i="10"/>
  <c r="O757" i="10"/>
  <c r="O758" i="10"/>
  <c r="P758" i="10"/>
  <c r="N759" i="10"/>
  <c r="O759" i="10"/>
  <c r="P759" i="10"/>
  <c r="L764" i="10"/>
  <c r="M764" i="10"/>
  <c r="N764" i="10"/>
  <c r="O764" i="10"/>
  <c r="P764" i="10"/>
  <c r="O765" i="10"/>
  <c r="P765" i="10"/>
  <c r="O766" i="10"/>
  <c r="P766" i="10"/>
  <c r="J769" i="10"/>
  <c r="K769" i="10"/>
  <c r="L770" i="10"/>
  <c r="O770" i="10" s="1"/>
  <c r="L771" i="10"/>
  <c r="O771" i="10" s="1"/>
  <c r="M771" i="10"/>
  <c r="N771" i="10"/>
  <c r="L772" i="10"/>
  <c r="O772" i="10" s="1"/>
  <c r="M772" i="10"/>
  <c r="P772" i="10" s="1"/>
  <c r="N772" i="10"/>
  <c r="N770" i="10" s="1"/>
  <c r="L773" i="10"/>
  <c r="M773" i="10"/>
  <c r="P773" i="10" s="1"/>
  <c r="O773" i="10"/>
  <c r="O774" i="10"/>
  <c r="P774" i="10"/>
  <c r="N775" i="10"/>
  <c r="N773" i="10" s="1"/>
  <c r="O775" i="10"/>
  <c r="P775" i="10"/>
  <c r="L780" i="10"/>
  <c r="M780" i="10"/>
  <c r="N780" i="10"/>
  <c r="O780" i="10"/>
  <c r="P780" i="10"/>
  <c r="O781" i="10"/>
  <c r="P781" i="10"/>
  <c r="O782" i="10"/>
  <c r="P782" i="10"/>
  <c r="L787" i="10"/>
  <c r="M787" i="10"/>
  <c r="N787" i="10"/>
  <c r="P787" i="10"/>
  <c r="M788" i="10"/>
  <c r="M789" i="10"/>
  <c r="P789" i="10" s="1"/>
  <c r="O790" i="10"/>
  <c r="P790" i="10"/>
  <c r="L791" i="10"/>
  <c r="O791" i="10" s="1"/>
  <c r="N791" i="10"/>
  <c r="N788" i="10" s="1"/>
  <c r="P791" i="10"/>
  <c r="L796" i="10"/>
  <c r="M796" i="10"/>
  <c r="P796" i="10" s="1"/>
  <c r="N796" i="10"/>
  <c r="O796" i="10"/>
  <c r="O797" i="10"/>
  <c r="P797" i="10"/>
  <c r="O798" i="10"/>
  <c r="P798" i="10"/>
  <c r="I800" i="10"/>
  <c r="K800" i="10" s="1"/>
  <c r="J800" i="10"/>
  <c r="J785" i="10" s="1"/>
  <c r="J801" i="10"/>
  <c r="K802" i="10"/>
  <c r="J804" i="10"/>
  <c r="K804" i="10"/>
  <c r="L806" i="10"/>
  <c r="M806" i="10"/>
  <c r="N806" i="10"/>
  <c r="P806" i="10"/>
  <c r="L807" i="10"/>
  <c r="O807" i="10" s="1"/>
  <c r="M807" i="10"/>
  <c r="L808" i="10"/>
  <c r="O808" i="10" s="1"/>
  <c r="M808" i="10"/>
  <c r="P808" i="10" s="1"/>
  <c r="O809" i="10"/>
  <c r="P809" i="10"/>
  <c r="N810" i="10"/>
  <c r="N807" i="10" s="1"/>
  <c r="O810" i="10"/>
  <c r="P810" i="10"/>
  <c r="L815" i="10"/>
  <c r="M815" i="10"/>
  <c r="N815" i="10"/>
  <c r="O815" i="10"/>
  <c r="P815" i="10"/>
  <c r="O816" i="10"/>
  <c r="P816" i="10"/>
  <c r="O817" i="10"/>
  <c r="P817" i="10"/>
  <c r="H820" i="10"/>
  <c r="I821" i="10"/>
  <c r="J821" i="10"/>
  <c r="I822" i="10"/>
  <c r="J822" i="10"/>
  <c r="I823" i="10"/>
  <c r="K823" i="10" s="1"/>
  <c r="J823" i="10"/>
  <c r="I824" i="10"/>
  <c r="K824" i="10" s="1"/>
  <c r="J824" i="10"/>
  <c r="I825" i="10"/>
  <c r="K825" i="10" s="1"/>
  <c r="J825" i="10"/>
  <c r="I826" i="10"/>
  <c r="K826" i="10" s="1"/>
  <c r="J826" i="10"/>
  <c r="I827" i="10"/>
  <c r="J827" i="10"/>
  <c r="I828" i="10"/>
  <c r="J828" i="10"/>
  <c r="L22" i="9"/>
  <c r="M22" i="9"/>
  <c r="P22" i="9" s="1"/>
  <c r="N22" i="9"/>
  <c r="L25" i="9"/>
  <c r="M25" i="9"/>
  <c r="M15" i="9" s="1"/>
  <c r="N25" i="9"/>
  <c r="O25" i="9"/>
  <c r="L32" i="9"/>
  <c r="M32" i="9"/>
  <c r="N32" i="9"/>
  <c r="O32" i="9"/>
  <c r="L35" i="9"/>
  <c r="M35" i="9"/>
  <c r="P35" i="9" s="1"/>
  <c r="N35" i="9"/>
  <c r="N15" i="9" s="1"/>
  <c r="M36" i="9"/>
  <c r="N36" i="9"/>
  <c r="L42" i="9"/>
  <c r="O42" i="9" s="1"/>
  <c r="M42" i="9"/>
  <c r="P42" i="9" s="1"/>
  <c r="N42" i="9"/>
  <c r="O45" i="9"/>
  <c r="P45" i="9"/>
  <c r="L46" i="9"/>
  <c r="L44" i="9" s="1"/>
  <c r="M46" i="9"/>
  <c r="M44" i="9" s="1"/>
  <c r="N46" i="9"/>
  <c r="O48" i="9"/>
  <c r="P48" i="9"/>
  <c r="L49" i="9"/>
  <c r="L47" i="9" s="1"/>
  <c r="O47" i="9" s="1"/>
  <c r="M49" i="9"/>
  <c r="M47" i="9" s="1"/>
  <c r="P47" i="9" s="1"/>
  <c r="N49" i="9"/>
  <c r="L54" i="9"/>
  <c r="M54" i="9"/>
  <c r="P54" i="9" s="1"/>
  <c r="N54" i="9"/>
  <c r="O54" i="9"/>
  <c r="O57" i="9"/>
  <c r="P57" i="9"/>
  <c r="L58" i="9"/>
  <c r="M58" i="9"/>
  <c r="M56" i="9" s="1"/>
  <c r="N58" i="9"/>
  <c r="N56" i="9" s="1"/>
  <c r="O60" i="9"/>
  <c r="P60" i="9"/>
  <c r="L61" i="9"/>
  <c r="L59" i="9" s="1"/>
  <c r="O59" i="9" s="1"/>
  <c r="M61" i="9"/>
  <c r="M59" i="9" s="1"/>
  <c r="P59" i="9" s="1"/>
  <c r="N61" i="9"/>
  <c r="L67" i="9"/>
  <c r="O67" i="9" s="1"/>
  <c r="M67" i="9"/>
  <c r="N67" i="9"/>
  <c r="P67" i="9"/>
  <c r="O70" i="9"/>
  <c r="P70" i="9"/>
  <c r="L71" i="9"/>
  <c r="M71" i="9"/>
  <c r="N71" i="9"/>
  <c r="N69" i="9" s="1"/>
  <c r="O73" i="9"/>
  <c r="P73" i="9"/>
  <c r="L74" i="9"/>
  <c r="L72" i="9" s="1"/>
  <c r="O72" i="9" s="1"/>
  <c r="M74" i="9"/>
  <c r="N74" i="9"/>
  <c r="N72" i="9" s="1"/>
  <c r="J76" i="9"/>
  <c r="J64" i="9" s="1"/>
  <c r="J77" i="9"/>
  <c r="J65" i="9" s="1"/>
  <c r="I78" i="9"/>
  <c r="K78" i="9" s="1"/>
  <c r="I79" i="9"/>
  <c r="K79" i="9" s="1"/>
  <c r="I80" i="9"/>
  <c r="K80" i="9" s="1"/>
  <c r="I81" i="9"/>
  <c r="K81" i="9" s="1"/>
  <c r="I82" i="9"/>
  <c r="K82" i="9" s="1"/>
  <c r="I83" i="9"/>
  <c r="K83" i="9" s="1"/>
  <c r="I84" i="9"/>
  <c r="K84" i="9" s="1"/>
  <c r="L89" i="9"/>
  <c r="O89" i="9" s="1"/>
  <c r="M89" i="9"/>
  <c r="N89" i="9"/>
  <c r="O92" i="9"/>
  <c r="P92" i="9"/>
  <c r="L93" i="9"/>
  <c r="M93" i="9"/>
  <c r="N93" i="9"/>
  <c r="O95" i="9"/>
  <c r="P95" i="9"/>
  <c r="L96" i="9"/>
  <c r="L94" i="9" s="1"/>
  <c r="O94" i="9" s="1"/>
  <c r="M96" i="9"/>
  <c r="N96" i="9"/>
  <c r="N94" i="9" s="1"/>
  <c r="I98" i="9"/>
  <c r="I86" i="9" s="1"/>
  <c r="J98" i="9"/>
  <c r="I99" i="9"/>
  <c r="I87" i="9" s="1"/>
  <c r="J99" i="9"/>
  <c r="J87" i="9" s="1"/>
  <c r="I100" i="9"/>
  <c r="J100" i="9"/>
  <c r="I102" i="9"/>
  <c r="K102" i="9" s="1"/>
  <c r="I103" i="9"/>
  <c r="K103" i="9" s="1"/>
  <c r="I104" i="9"/>
  <c r="K104" i="9" s="1"/>
  <c r="I106" i="9"/>
  <c r="K106" i="9" s="1"/>
  <c r="I107" i="9"/>
  <c r="K107" i="9" s="1"/>
  <c r="I109" i="9"/>
  <c r="K109" i="9" s="1"/>
  <c r="I110" i="9"/>
  <c r="K110" i="9" s="1"/>
  <c r="I111" i="9"/>
  <c r="K111" i="9" s="1"/>
  <c r="J111" i="9"/>
  <c r="J112" i="9"/>
  <c r="I113" i="9"/>
  <c r="K113" i="9" s="1"/>
  <c r="I114" i="9"/>
  <c r="K114" i="9" s="1"/>
  <c r="I115" i="9"/>
  <c r="K115" i="9" s="1"/>
  <c r="I116" i="9"/>
  <c r="K116" i="9" s="1"/>
  <c r="L120" i="9"/>
  <c r="M120" i="9"/>
  <c r="N120" i="9"/>
  <c r="O120" i="9"/>
  <c r="O123" i="9"/>
  <c r="P123" i="9"/>
  <c r="L124" i="9"/>
  <c r="M124" i="9"/>
  <c r="M122" i="9" s="1"/>
  <c r="P122" i="9" s="1"/>
  <c r="N124" i="9"/>
  <c r="N122" i="9" s="1"/>
  <c r="O126" i="9"/>
  <c r="P126" i="9"/>
  <c r="L127" i="9"/>
  <c r="O127" i="9" s="1"/>
  <c r="M127" i="9"/>
  <c r="M125" i="9" s="1"/>
  <c r="P125" i="9" s="1"/>
  <c r="N127" i="9"/>
  <c r="N125" i="9" s="1"/>
  <c r="J130" i="9"/>
  <c r="L133" i="9"/>
  <c r="O133" i="9" s="1"/>
  <c r="M133" i="9"/>
  <c r="P133" i="9" s="1"/>
  <c r="N133" i="9"/>
  <c r="O136" i="9"/>
  <c r="P136" i="9"/>
  <c r="L137" i="9"/>
  <c r="L135" i="9" s="1"/>
  <c r="M137" i="9"/>
  <c r="M135" i="9" s="1"/>
  <c r="N137" i="9"/>
  <c r="N135" i="9" s="1"/>
  <c r="O139" i="9"/>
  <c r="P139" i="9"/>
  <c r="L140" i="9"/>
  <c r="M140" i="9"/>
  <c r="N140" i="9"/>
  <c r="I144" i="9"/>
  <c r="I145" i="9"/>
  <c r="K145" i="9" s="1"/>
  <c r="I146" i="9"/>
  <c r="I130" i="9" s="1"/>
  <c r="K130" i="9" s="1"/>
  <c r="J148" i="9"/>
  <c r="L150" i="9"/>
  <c r="M150" i="9"/>
  <c r="N150" i="9"/>
  <c r="O150" i="9"/>
  <c r="O153" i="9"/>
  <c r="P153" i="9"/>
  <c r="L154" i="9"/>
  <c r="L152" i="9" s="1"/>
  <c r="O152" i="9" s="1"/>
  <c r="M154" i="9"/>
  <c r="N154" i="9"/>
  <c r="N152" i="9" s="1"/>
  <c r="O156" i="9"/>
  <c r="P156" i="9"/>
  <c r="L157" i="9"/>
  <c r="M157" i="9"/>
  <c r="M155" i="9" s="1"/>
  <c r="P155" i="9" s="1"/>
  <c r="N157" i="9"/>
  <c r="N155" i="9" s="1"/>
  <c r="I159" i="9"/>
  <c r="I148" i="9" s="1"/>
  <c r="K148" i="9" s="1"/>
  <c r="L166" i="9"/>
  <c r="M166" i="9"/>
  <c r="N166" i="9"/>
  <c r="O166" i="9"/>
  <c r="O169" i="9"/>
  <c r="P169" i="9"/>
  <c r="L170" i="9"/>
  <c r="M170" i="9"/>
  <c r="M168" i="9" s="1"/>
  <c r="N170" i="9"/>
  <c r="O172" i="9"/>
  <c r="P172" i="9"/>
  <c r="L173" i="9"/>
  <c r="M173" i="9"/>
  <c r="P173" i="9" s="1"/>
  <c r="N173" i="9"/>
  <c r="N171" i="9" s="1"/>
  <c r="J174" i="9"/>
  <c r="I176" i="9"/>
  <c r="I174" i="9" s="1"/>
  <c r="J177" i="9"/>
  <c r="L182" i="9"/>
  <c r="O182" i="9" s="1"/>
  <c r="M182" i="9"/>
  <c r="P182" i="9" s="1"/>
  <c r="N182" i="9"/>
  <c r="O185" i="9"/>
  <c r="P185" i="9"/>
  <c r="L186" i="9"/>
  <c r="M186" i="9"/>
  <c r="M184" i="9" s="1"/>
  <c r="N186" i="9"/>
  <c r="O188" i="9"/>
  <c r="P188" i="9"/>
  <c r="L189" i="9"/>
  <c r="M189" i="9"/>
  <c r="M187" i="9" s="1"/>
  <c r="P187" i="9" s="1"/>
  <c r="N189" i="9"/>
  <c r="N187" i="9" s="1"/>
  <c r="J190" i="9"/>
  <c r="L191" i="9"/>
  <c r="O191" i="9" s="1"/>
  <c r="P191" i="9"/>
  <c r="I193" i="9"/>
  <c r="I190" i="9" s="1"/>
  <c r="K190" i="9" s="1"/>
  <c r="J194" i="9"/>
  <c r="J197" i="9"/>
  <c r="N198" i="9"/>
  <c r="P198" i="9"/>
  <c r="L199" i="9"/>
  <c r="L200" i="9"/>
  <c r="L201" i="9"/>
  <c r="L202" i="9"/>
  <c r="I204" i="9"/>
  <c r="I197" i="9" s="1"/>
  <c r="K197" i="9" s="1"/>
  <c r="K206" i="9"/>
  <c r="K207" i="9"/>
  <c r="J208" i="9"/>
  <c r="N209" i="9"/>
  <c r="P209" i="9"/>
  <c r="L210" i="9"/>
  <c r="L211" i="9"/>
  <c r="L212" i="9"/>
  <c r="I214" i="9"/>
  <c r="K214" i="9" s="1"/>
  <c r="I215" i="9"/>
  <c r="I208" i="9" s="1"/>
  <c r="K208" i="9" s="1"/>
  <c r="J216" i="9"/>
  <c r="N217" i="9"/>
  <c r="P217" i="9"/>
  <c r="L218" i="9"/>
  <c r="L219" i="9"/>
  <c r="L220" i="9"/>
  <c r="I223" i="9"/>
  <c r="K223" i="9" s="1"/>
  <c r="I224" i="9"/>
  <c r="I216" i="9" s="1"/>
  <c r="I225" i="9"/>
  <c r="K225" i="9" s="1"/>
  <c r="N228" i="9"/>
  <c r="N229" i="9"/>
  <c r="N230" i="9"/>
  <c r="N231" i="9"/>
  <c r="J233" i="9"/>
  <c r="I235" i="9"/>
  <c r="K235" i="9" s="1"/>
  <c r="J235" i="9"/>
  <c r="I236" i="9"/>
  <c r="K236" i="9" s="1"/>
  <c r="J236" i="9"/>
  <c r="J237" i="9"/>
  <c r="J226" i="9" s="1"/>
  <c r="J180" i="9" s="1"/>
  <c r="N238" i="9"/>
  <c r="P238" i="9"/>
  <c r="L239" i="9"/>
  <c r="L240" i="9"/>
  <c r="L241" i="9"/>
  <c r="L242" i="9"/>
  <c r="I244" i="9"/>
  <c r="K246" i="9"/>
  <c r="K247" i="9"/>
  <c r="J248" i="9"/>
  <c r="N249" i="9"/>
  <c r="P249" i="9"/>
  <c r="L250" i="9"/>
  <c r="L251" i="9"/>
  <c r="L252" i="9"/>
  <c r="L253" i="9"/>
  <c r="I255" i="9"/>
  <c r="I248" i="9" s="1"/>
  <c r="K248" i="9" s="1"/>
  <c r="K257" i="9"/>
  <c r="K258" i="9"/>
  <c r="J260" i="9"/>
  <c r="L262" i="9"/>
  <c r="M262" i="9"/>
  <c r="P262" i="9" s="1"/>
  <c r="N262" i="9"/>
  <c r="O262" i="9"/>
  <c r="O265" i="9"/>
  <c r="P265" i="9"/>
  <c r="L266" i="9"/>
  <c r="L264" i="9" s="1"/>
  <c r="M266" i="9"/>
  <c r="N266" i="9"/>
  <c r="O268" i="9"/>
  <c r="P268" i="9"/>
  <c r="L269" i="9"/>
  <c r="O269" i="9" s="1"/>
  <c r="M269" i="9"/>
  <c r="M267" i="9" s="1"/>
  <c r="P267" i="9" s="1"/>
  <c r="N269" i="9"/>
  <c r="N267" i="9" s="1"/>
  <c r="I271" i="9"/>
  <c r="I260" i="9" s="1"/>
  <c r="J276" i="9"/>
  <c r="L278" i="9"/>
  <c r="M278" i="9"/>
  <c r="P278" i="9" s="1"/>
  <c r="N278" i="9"/>
  <c r="O278" i="9"/>
  <c r="O281" i="9"/>
  <c r="P281" i="9"/>
  <c r="L282" i="9"/>
  <c r="M282" i="9"/>
  <c r="M280" i="9" s="1"/>
  <c r="P280" i="9" s="1"/>
  <c r="N282" i="9"/>
  <c r="O284" i="9"/>
  <c r="P284" i="9"/>
  <c r="L285" i="9"/>
  <c r="O285" i="9" s="1"/>
  <c r="M285" i="9"/>
  <c r="M283" i="9" s="1"/>
  <c r="P283" i="9" s="1"/>
  <c r="N285" i="9"/>
  <c r="N283" i="9" s="1"/>
  <c r="I287" i="9"/>
  <c r="I276" i="9" s="1"/>
  <c r="K276" i="9" s="1"/>
  <c r="I288" i="9"/>
  <c r="J288" i="9" s="1"/>
  <c r="J275" i="9" s="1"/>
  <c r="I290" i="9"/>
  <c r="K290" i="9" s="1"/>
  <c r="I291" i="9"/>
  <c r="K291" i="9" s="1"/>
  <c r="I293" i="9"/>
  <c r="K293" i="9" s="1"/>
  <c r="I294" i="9"/>
  <c r="K294" i="9" s="1"/>
  <c r="J297" i="9"/>
  <c r="L299" i="9"/>
  <c r="M299" i="9"/>
  <c r="P299" i="9" s="1"/>
  <c r="N299" i="9"/>
  <c r="O299" i="9"/>
  <c r="O302" i="9"/>
  <c r="P302" i="9"/>
  <c r="L303" i="9"/>
  <c r="M303" i="9"/>
  <c r="M301" i="9" s="1"/>
  <c r="N303" i="9"/>
  <c r="O305" i="9"/>
  <c r="P305" i="9"/>
  <c r="L306" i="9"/>
  <c r="L304" i="9" s="1"/>
  <c r="O304" i="9" s="1"/>
  <c r="M306" i="9"/>
  <c r="P306" i="9" s="1"/>
  <c r="N306" i="9"/>
  <c r="N304" i="9" s="1"/>
  <c r="I309" i="9"/>
  <c r="K309" i="9" s="1"/>
  <c r="I310" i="9"/>
  <c r="K310" i="9" s="1"/>
  <c r="I311" i="9"/>
  <c r="K311" i="9" s="1"/>
  <c r="I312" i="9"/>
  <c r="K312" i="9" s="1"/>
  <c r="J314" i="9"/>
  <c r="L316" i="9"/>
  <c r="M316" i="9"/>
  <c r="N316" i="9"/>
  <c r="O319" i="9"/>
  <c r="P319" i="9"/>
  <c r="L320" i="9"/>
  <c r="M320" i="9"/>
  <c r="N320" i="9"/>
  <c r="N318" i="9" s="1"/>
  <c r="O322" i="9"/>
  <c r="P322" i="9"/>
  <c r="L323" i="9"/>
  <c r="L321" i="9" s="1"/>
  <c r="O321" i="9" s="1"/>
  <c r="M323" i="9"/>
  <c r="M321" i="9" s="1"/>
  <c r="P321" i="9" s="1"/>
  <c r="N323" i="9"/>
  <c r="N321" i="9" s="1"/>
  <c r="I325" i="9"/>
  <c r="I327" i="9"/>
  <c r="L329" i="9"/>
  <c r="M329" i="9"/>
  <c r="N329" i="9"/>
  <c r="O332" i="9"/>
  <c r="P332" i="9"/>
  <c r="L333" i="9"/>
  <c r="L331" i="9" s="1"/>
  <c r="M333" i="9"/>
  <c r="N333" i="9"/>
  <c r="O335" i="9"/>
  <c r="P335" i="9"/>
  <c r="L336" i="9"/>
  <c r="O336" i="9" s="1"/>
  <c r="M336" i="9"/>
  <c r="N336" i="9"/>
  <c r="N334" i="9" s="1"/>
  <c r="D337" i="9"/>
  <c r="I338" i="9"/>
  <c r="J338" i="9"/>
  <c r="I340" i="9"/>
  <c r="J340" i="9"/>
  <c r="J341" i="9"/>
  <c r="J342" i="9"/>
  <c r="J343" i="9"/>
  <c r="L346" i="9"/>
  <c r="M346" i="9"/>
  <c r="P346" i="9" s="1"/>
  <c r="N346" i="9"/>
  <c r="O346" i="9"/>
  <c r="O349" i="9"/>
  <c r="P349" i="9"/>
  <c r="L350" i="9"/>
  <c r="M350" i="9"/>
  <c r="M348" i="9" s="1"/>
  <c r="N350" i="9"/>
  <c r="N348" i="9" s="1"/>
  <c r="O352" i="9"/>
  <c r="P352" i="9"/>
  <c r="L353" i="9"/>
  <c r="M353" i="9"/>
  <c r="N353" i="9"/>
  <c r="I355" i="9"/>
  <c r="J358" i="9"/>
  <c r="K358" i="9"/>
  <c r="I359" i="9"/>
  <c r="J359" i="9"/>
  <c r="I360" i="9"/>
  <c r="J360" i="9"/>
  <c r="J361" i="9"/>
  <c r="K361" i="9"/>
  <c r="I362" i="9"/>
  <c r="J362" i="9"/>
  <c r="J355" i="9" s="1"/>
  <c r="J363" i="9"/>
  <c r="K363" i="9"/>
  <c r="I365" i="9"/>
  <c r="J368" i="9"/>
  <c r="K368" i="9"/>
  <c r="I369" i="9"/>
  <c r="J369" i="9"/>
  <c r="I370" i="9"/>
  <c r="J370" i="9"/>
  <c r="J371" i="9"/>
  <c r="K371" i="9"/>
  <c r="I372" i="9"/>
  <c r="J372" i="9"/>
  <c r="J365" i="9" s="1"/>
  <c r="A373" i="9"/>
  <c r="J373" i="9"/>
  <c r="K373" i="9"/>
  <c r="I374" i="9"/>
  <c r="J377" i="9"/>
  <c r="K377" i="9"/>
  <c r="I378" i="9"/>
  <c r="J378" i="9"/>
  <c r="I379" i="9"/>
  <c r="J379" i="9"/>
  <c r="J380" i="9"/>
  <c r="K380" i="9"/>
  <c r="I381" i="9"/>
  <c r="J381" i="9"/>
  <c r="J374" i="9" s="1"/>
  <c r="A382" i="9"/>
  <c r="J382" i="9"/>
  <c r="K382" i="9"/>
  <c r="D384" i="9"/>
  <c r="I385" i="9"/>
  <c r="J385" i="9"/>
  <c r="I388" i="9"/>
  <c r="K388" i="9" s="1"/>
  <c r="J388" i="9"/>
  <c r="L390" i="9"/>
  <c r="M390" i="9"/>
  <c r="P390" i="9" s="1"/>
  <c r="N390" i="9"/>
  <c r="O390" i="9"/>
  <c r="O393" i="9"/>
  <c r="P393" i="9"/>
  <c r="L394" i="9"/>
  <c r="L392" i="9" s="1"/>
  <c r="O392" i="9" s="1"/>
  <c r="M394" i="9"/>
  <c r="M392" i="9" s="1"/>
  <c r="P392" i="9" s="1"/>
  <c r="N394" i="9"/>
  <c r="O396" i="9"/>
  <c r="P396" i="9"/>
  <c r="L397" i="9"/>
  <c r="L395" i="9" s="1"/>
  <c r="O395" i="9" s="1"/>
  <c r="M397" i="9"/>
  <c r="N397" i="9"/>
  <c r="N395" i="9" s="1"/>
  <c r="K399" i="9"/>
  <c r="K400" i="9"/>
  <c r="I401" i="9"/>
  <c r="K401" i="9" s="1"/>
  <c r="J401" i="9"/>
  <c r="L403" i="9"/>
  <c r="M403" i="9"/>
  <c r="N403" i="9"/>
  <c r="O406" i="9"/>
  <c r="P406" i="9"/>
  <c r="L407" i="9"/>
  <c r="L405" i="9" s="1"/>
  <c r="O405" i="9" s="1"/>
  <c r="M407" i="9"/>
  <c r="N407" i="9"/>
  <c r="O409" i="9"/>
  <c r="P409" i="9"/>
  <c r="L410" i="9"/>
  <c r="M410" i="9"/>
  <c r="P410" i="9" s="1"/>
  <c r="N410" i="9"/>
  <c r="N408" i="9" s="1"/>
  <c r="K412" i="9"/>
  <c r="K413" i="9"/>
  <c r="L420" i="9"/>
  <c r="O420" i="9" s="1"/>
  <c r="M420" i="9"/>
  <c r="N420" i="9"/>
  <c r="N421" i="9"/>
  <c r="N422" i="9"/>
  <c r="O423" i="9"/>
  <c r="P423" i="9"/>
  <c r="L424" i="9"/>
  <c r="O424" i="9" s="1"/>
  <c r="N424" i="9"/>
  <c r="M429" i="9"/>
  <c r="N429" i="9"/>
  <c r="P429" i="9"/>
  <c r="O430" i="9"/>
  <c r="P430" i="9"/>
  <c r="L431" i="9"/>
  <c r="L429" i="9" s="1"/>
  <c r="O429" i="9" s="1"/>
  <c r="P431" i="9"/>
  <c r="J434" i="9"/>
  <c r="J418" i="9" s="1"/>
  <c r="I435" i="9"/>
  <c r="I433" i="9" s="1"/>
  <c r="I417" i="9" s="1"/>
  <c r="I437" i="9"/>
  <c r="K437" i="9" s="1"/>
  <c r="I438" i="9"/>
  <c r="I439" i="9"/>
  <c r="K439" i="9" s="1"/>
  <c r="I440" i="9"/>
  <c r="K440" i="9" s="1"/>
  <c r="I441" i="9"/>
  <c r="K441" i="9" s="1"/>
  <c r="J442" i="9"/>
  <c r="J443" i="9"/>
  <c r="L445" i="9"/>
  <c r="M445" i="9"/>
  <c r="P445" i="9" s="1"/>
  <c r="N445" i="9"/>
  <c r="N447" i="9"/>
  <c r="O448" i="9"/>
  <c r="P448" i="9"/>
  <c r="L449" i="9"/>
  <c r="M449" i="9" s="1"/>
  <c r="N449" i="9"/>
  <c r="N446" i="9" s="1"/>
  <c r="M454" i="9"/>
  <c r="P454" i="9" s="1"/>
  <c r="N454" i="9"/>
  <c r="O455" i="9"/>
  <c r="P455" i="9"/>
  <c r="L456" i="9"/>
  <c r="L454" i="9" s="1"/>
  <c r="O454" i="9" s="1"/>
  <c r="P456" i="9"/>
  <c r="K458" i="9"/>
  <c r="I460" i="9"/>
  <c r="I442" i="9" s="1"/>
  <c r="K442" i="9" s="1"/>
  <c r="I462" i="9"/>
  <c r="I443" i="9" s="1"/>
  <c r="K443" i="9" s="1"/>
  <c r="I463" i="9"/>
  <c r="I464" i="9"/>
  <c r="I465" i="9"/>
  <c r="K465" i="9" s="1"/>
  <c r="J465" i="9"/>
  <c r="I466" i="9"/>
  <c r="J466" i="9"/>
  <c r="L468" i="9"/>
  <c r="O468" i="9" s="1"/>
  <c r="M468" i="9"/>
  <c r="N468" i="9"/>
  <c r="N467" i="9" s="1"/>
  <c r="P468" i="9"/>
  <c r="N470" i="9"/>
  <c r="O471" i="9"/>
  <c r="P471" i="9"/>
  <c r="L472" i="9"/>
  <c r="M472" i="9" s="1"/>
  <c r="M470" i="9" s="1"/>
  <c r="P470" i="9" s="1"/>
  <c r="N472" i="9"/>
  <c r="N469" i="9" s="1"/>
  <c r="M477" i="9"/>
  <c r="P477" i="9" s="1"/>
  <c r="N477" i="9"/>
  <c r="O478" i="9"/>
  <c r="P478" i="9"/>
  <c r="L479" i="9"/>
  <c r="L477" i="9" s="1"/>
  <c r="O477" i="9" s="1"/>
  <c r="P479" i="9"/>
  <c r="I483" i="9"/>
  <c r="K483" i="9" s="1"/>
  <c r="I485" i="9"/>
  <c r="K485" i="9" s="1"/>
  <c r="I487" i="9"/>
  <c r="K487" i="9" s="1"/>
  <c r="I489" i="9"/>
  <c r="K489" i="9" s="1"/>
  <c r="I492" i="9"/>
  <c r="K492" i="9" s="1"/>
  <c r="I495" i="9"/>
  <c r="K495" i="9" s="1"/>
  <c r="I498" i="9"/>
  <c r="K498" i="9" s="1"/>
  <c r="J500" i="9"/>
  <c r="K500" i="9"/>
  <c r="K501" i="9"/>
  <c r="L503" i="9"/>
  <c r="O503" i="9" s="1"/>
  <c r="M503" i="9"/>
  <c r="M502" i="9" s="1"/>
  <c r="P502" i="9" s="1"/>
  <c r="N503" i="9"/>
  <c r="P503" i="9"/>
  <c r="L504" i="9"/>
  <c r="M504" i="9"/>
  <c r="P504" i="9" s="1"/>
  <c r="O504" i="9"/>
  <c r="L505" i="9"/>
  <c r="O505" i="9" s="1"/>
  <c r="M505" i="9"/>
  <c r="P505" i="9" s="1"/>
  <c r="O506" i="9"/>
  <c r="P506" i="9"/>
  <c r="N507" i="9"/>
  <c r="N505" i="9" s="1"/>
  <c r="O507" i="9"/>
  <c r="P507" i="9"/>
  <c r="L512" i="9"/>
  <c r="O512" i="9" s="1"/>
  <c r="M512" i="9"/>
  <c r="P512" i="9" s="1"/>
  <c r="N512" i="9"/>
  <c r="O513" i="9"/>
  <c r="P513" i="9"/>
  <c r="O514" i="9"/>
  <c r="P514" i="9"/>
  <c r="K516" i="9"/>
  <c r="J517" i="9"/>
  <c r="J501" i="9" s="1"/>
  <c r="K517" i="9"/>
  <c r="P523" i="9"/>
  <c r="L524" i="9"/>
  <c r="O524" i="9" s="1"/>
  <c r="M524" i="9"/>
  <c r="M523" i="9" s="1"/>
  <c r="N524" i="9"/>
  <c r="M525" i="9"/>
  <c r="P525" i="9" s="1"/>
  <c r="N525" i="9"/>
  <c r="N523" i="9" s="1"/>
  <c r="M526" i="9"/>
  <c r="P526" i="9" s="1"/>
  <c r="O527" i="9"/>
  <c r="P527" i="9"/>
  <c r="L528" i="9"/>
  <c r="O528" i="9" s="1"/>
  <c r="N528" i="9"/>
  <c r="N526" i="9" s="1"/>
  <c r="P528" i="9"/>
  <c r="M533" i="9"/>
  <c r="P533" i="9" s="1"/>
  <c r="N533" i="9"/>
  <c r="O534" i="9"/>
  <c r="P534" i="9"/>
  <c r="L535" i="9"/>
  <c r="L533" i="9" s="1"/>
  <c r="O533" i="9" s="1"/>
  <c r="P535" i="9"/>
  <c r="I537" i="9"/>
  <c r="K537" i="9" s="1"/>
  <c r="I538" i="9"/>
  <c r="K538" i="9" s="1"/>
  <c r="I539" i="9"/>
  <c r="K539" i="9" s="1"/>
  <c r="I540" i="9"/>
  <c r="K540" i="9" s="1"/>
  <c r="I541" i="9"/>
  <c r="K541" i="9" s="1"/>
  <c r="I542" i="9"/>
  <c r="K542" i="9" s="1"/>
  <c r="L545" i="9"/>
  <c r="O545" i="9" s="1"/>
  <c r="O548" i="9"/>
  <c r="P548" i="9"/>
  <c r="L549" i="9"/>
  <c r="L547" i="9" s="1"/>
  <c r="N549" i="9"/>
  <c r="M555" i="9"/>
  <c r="M545" i="9" s="1"/>
  <c r="N555" i="9"/>
  <c r="N545" i="9" s="1"/>
  <c r="P555" i="9"/>
  <c r="O556" i="9"/>
  <c r="P556" i="9"/>
  <c r="L557" i="9"/>
  <c r="L555" i="9" s="1"/>
  <c r="O555" i="9" s="1"/>
  <c r="P557" i="9"/>
  <c r="I560" i="9"/>
  <c r="J560" i="9"/>
  <c r="I561" i="9"/>
  <c r="K561" i="9" s="1"/>
  <c r="J561" i="9"/>
  <c r="I568" i="9"/>
  <c r="J568" i="9"/>
  <c r="I569" i="9"/>
  <c r="K569" i="9" s="1"/>
  <c r="J569" i="9"/>
  <c r="I576" i="9"/>
  <c r="I559" i="9" s="1"/>
  <c r="I543" i="9" s="1"/>
  <c r="I577" i="9"/>
  <c r="J582" i="9"/>
  <c r="J576" i="9" s="1"/>
  <c r="J583" i="9"/>
  <c r="J577" i="9" s="1"/>
  <c r="I593" i="9"/>
  <c r="I592" i="9" s="1"/>
  <c r="I594" i="9"/>
  <c r="J595" i="9"/>
  <c r="J596" i="9"/>
  <c r="J603" i="9"/>
  <c r="J593" i="9" s="1"/>
  <c r="J592" i="9" s="1"/>
  <c r="J604" i="9"/>
  <c r="J611" i="9"/>
  <c r="K611" i="9"/>
  <c r="J612" i="9"/>
  <c r="K612" i="9"/>
  <c r="J613" i="9"/>
  <c r="K613" i="9"/>
  <c r="I620" i="9"/>
  <c r="J620" i="9"/>
  <c r="I621" i="9"/>
  <c r="J621" i="9"/>
  <c r="L630" i="9"/>
  <c r="O630" i="9" s="1"/>
  <c r="M630" i="9"/>
  <c r="M629" i="9" s="1"/>
  <c r="P629" i="9" s="1"/>
  <c r="N630" i="9"/>
  <c r="P630" i="9"/>
  <c r="M631" i="9"/>
  <c r="N631" i="9"/>
  <c r="P631" i="9"/>
  <c r="M632" i="9"/>
  <c r="P632" i="9" s="1"/>
  <c r="O633" i="9"/>
  <c r="P633" i="9"/>
  <c r="L634" i="9"/>
  <c r="L632" i="9" s="1"/>
  <c r="O632" i="9" s="1"/>
  <c r="N634" i="9"/>
  <c r="N632" i="9" s="1"/>
  <c r="P634" i="9"/>
  <c r="M639" i="9"/>
  <c r="P639" i="9" s="1"/>
  <c r="N639" i="9"/>
  <c r="O640" i="9"/>
  <c r="P640" i="9"/>
  <c r="L641" i="9"/>
  <c r="L639" i="9" s="1"/>
  <c r="O639" i="9" s="1"/>
  <c r="P641" i="9"/>
  <c r="I643" i="9"/>
  <c r="K643" i="9" s="1"/>
  <c r="I644" i="9"/>
  <c r="K644" i="9" s="1"/>
  <c r="J645" i="9"/>
  <c r="K645" i="9"/>
  <c r="J646" i="9"/>
  <c r="K646" i="9"/>
  <c r="I647" i="9"/>
  <c r="K647" i="9" s="1"/>
  <c r="J647" i="9"/>
  <c r="J648" i="9"/>
  <c r="K648" i="9"/>
  <c r="I649" i="9"/>
  <c r="K649" i="9" s="1"/>
  <c r="J649" i="9"/>
  <c r="J650" i="9"/>
  <c r="K650" i="9"/>
  <c r="I651" i="9"/>
  <c r="I628" i="9" s="1"/>
  <c r="K628" i="9" s="1"/>
  <c r="J651" i="9"/>
  <c r="J628" i="9" s="1"/>
  <c r="J652" i="9"/>
  <c r="K652" i="9"/>
  <c r="L656" i="9"/>
  <c r="O656" i="9" s="1"/>
  <c r="M656" i="9"/>
  <c r="N656" i="9"/>
  <c r="O659" i="9"/>
  <c r="P659" i="9"/>
  <c r="L660" i="9"/>
  <c r="L658" i="9" s="1"/>
  <c r="N660" i="9"/>
  <c r="L665" i="9"/>
  <c r="O665" i="9" s="1"/>
  <c r="M665" i="9"/>
  <c r="N665" i="9"/>
  <c r="P665" i="9"/>
  <c r="O666" i="9"/>
  <c r="P666" i="9"/>
  <c r="O667" i="9"/>
  <c r="P667" i="9"/>
  <c r="I669" i="9"/>
  <c r="I670" i="9"/>
  <c r="K670" i="9" s="1"/>
  <c r="I671" i="9"/>
  <c r="K671" i="9" s="1"/>
  <c r="J675" i="9"/>
  <c r="I678" i="9"/>
  <c r="K678" i="9" s="1"/>
  <c r="J678" i="9"/>
  <c r="J679" i="9"/>
  <c r="L686" i="9"/>
  <c r="O686" i="9" s="1"/>
  <c r="M686" i="9"/>
  <c r="M685" i="9" s="1"/>
  <c r="P685" i="9" s="1"/>
  <c r="N686" i="9"/>
  <c r="P686" i="9"/>
  <c r="M687" i="9"/>
  <c r="P687" i="9"/>
  <c r="M688" i="9"/>
  <c r="P688" i="9"/>
  <c r="L690" i="9"/>
  <c r="N690" i="9"/>
  <c r="N688" i="9" s="1"/>
  <c r="P690" i="9"/>
  <c r="L695" i="9"/>
  <c r="O695" i="9" s="1"/>
  <c r="M695" i="9"/>
  <c r="P695" i="9" s="1"/>
  <c r="N695" i="9"/>
  <c r="O696" i="9"/>
  <c r="P696" i="9"/>
  <c r="O697" i="9"/>
  <c r="P697" i="9"/>
  <c r="I699" i="9"/>
  <c r="K699" i="9" s="1"/>
  <c r="J699" i="9"/>
  <c r="I700" i="9"/>
  <c r="K700" i="9" s="1"/>
  <c r="J700" i="9"/>
  <c r="I701" i="9"/>
  <c r="K701" i="9" s="1"/>
  <c r="J701" i="9"/>
  <c r="I704" i="9"/>
  <c r="I707" i="9"/>
  <c r="I708" i="9"/>
  <c r="K708" i="9" s="1"/>
  <c r="J708" i="9"/>
  <c r="J718" i="9"/>
  <c r="J719" i="9"/>
  <c r="I720" i="9"/>
  <c r="K720" i="9" s="1"/>
  <c r="J720" i="9"/>
  <c r="I721" i="9"/>
  <c r="K721" i="9" s="1"/>
  <c r="I722" i="9"/>
  <c r="K722" i="9" s="1"/>
  <c r="I723" i="9"/>
  <c r="K723" i="9" s="1"/>
  <c r="J723" i="9"/>
  <c r="J724" i="9"/>
  <c r="I725" i="9"/>
  <c r="K725" i="9" s="1"/>
  <c r="J725" i="9"/>
  <c r="I726" i="9"/>
  <c r="K726" i="9" s="1"/>
  <c r="J726" i="9"/>
  <c r="J727" i="9"/>
  <c r="I728" i="9"/>
  <c r="K728" i="9" s="1"/>
  <c r="J728" i="9"/>
  <c r="I729" i="9"/>
  <c r="K729" i="9" s="1"/>
  <c r="J729" i="9"/>
  <c r="J736" i="9"/>
  <c r="K736" i="9"/>
  <c r="N737" i="9"/>
  <c r="L738" i="9"/>
  <c r="M738" i="9"/>
  <c r="P738" i="9" s="1"/>
  <c r="N738" i="9"/>
  <c r="O738" i="9"/>
  <c r="L739" i="9"/>
  <c r="O739" i="9" s="1"/>
  <c r="M739" i="9"/>
  <c r="P739" i="9"/>
  <c r="L740" i="9"/>
  <c r="O740" i="9" s="1"/>
  <c r="M740" i="9"/>
  <c r="P740" i="9" s="1"/>
  <c r="O741" i="9"/>
  <c r="P741" i="9"/>
  <c r="N742" i="9"/>
  <c r="N739" i="9" s="1"/>
  <c r="O742" i="9"/>
  <c r="P742" i="9"/>
  <c r="L747" i="9"/>
  <c r="M747" i="9"/>
  <c r="P747" i="9" s="1"/>
  <c r="N747" i="9"/>
  <c r="O747" i="9"/>
  <c r="O748" i="9"/>
  <c r="P748" i="9"/>
  <c r="O749" i="9"/>
  <c r="P749" i="9"/>
  <c r="J753" i="9"/>
  <c r="K753" i="9"/>
  <c r="L755" i="9"/>
  <c r="M755" i="9"/>
  <c r="N755" i="9"/>
  <c r="P755" i="9"/>
  <c r="L756" i="9"/>
  <c r="O756" i="9" s="1"/>
  <c r="M756" i="9"/>
  <c r="M754" i="9" s="1"/>
  <c r="P754" i="9" s="1"/>
  <c r="L757" i="9"/>
  <c r="O757" i="9" s="1"/>
  <c r="M757" i="9"/>
  <c r="P757" i="9" s="1"/>
  <c r="N757" i="9"/>
  <c r="O758" i="9"/>
  <c r="P758" i="9"/>
  <c r="N759" i="9"/>
  <c r="N756" i="9" s="1"/>
  <c r="O759" i="9"/>
  <c r="P759" i="9"/>
  <c r="L764" i="9"/>
  <c r="O764" i="9" s="1"/>
  <c r="M764" i="9"/>
  <c r="P764" i="9" s="1"/>
  <c r="N764" i="9"/>
  <c r="O765" i="9"/>
  <c r="P765" i="9"/>
  <c r="O766" i="9"/>
  <c r="P766" i="9"/>
  <c r="J769" i="9"/>
  <c r="K769" i="9"/>
  <c r="L771" i="9"/>
  <c r="L770" i="9" s="1"/>
  <c r="O770" i="9" s="1"/>
  <c r="M771" i="9"/>
  <c r="N771" i="9"/>
  <c r="P771" i="9"/>
  <c r="L772" i="9"/>
  <c r="O772" i="9" s="1"/>
  <c r="M772" i="9"/>
  <c r="M770" i="9" s="1"/>
  <c r="P770" i="9" s="1"/>
  <c r="L773" i="9"/>
  <c r="O773" i="9" s="1"/>
  <c r="M773" i="9"/>
  <c r="P773" i="9" s="1"/>
  <c r="N773" i="9"/>
  <c r="O774" i="9"/>
  <c r="P774" i="9"/>
  <c r="N775" i="9"/>
  <c r="N772" i="9" s="1"/>
  <c r="O775" i="9"/>
  <c r="P775" i="9"/>
  <c r="L780" i="9"/>
  <c r="O780" i="9" s="1"/>
  <c r="M780" i="9"/>
  <c r="P780" i="9" s="1"/>
  <c r="N780" i="9"/>
  <c r="O781" i="9"/>
  <c r="P781" i="9"/>
  <c r="O782" i="9"/>
  <c r="P782" i="9"/>
  <c r="L787" i="9"/>
  <c r="O787" i="9" s="1"/>
  <c r="M787" i="9"/>
  <c r="N787" i="9"/>
  <c r="N786" i="9" s="1"/>
  <c r="P787" i="9"/>
  <c r="M788" i="9"/>
  <c r="M786" i="9" s="1"/>
  <c r="P786" i="9" s="1"/>
  <c r="N788" i="9"/>
  <c r="M789" i="9"/>
  <c r="P789" i="9" s="1"/>
  <c r="O790" i="9"/>
  <c r="P790" i="9"/>
  <c r="L791" i="9"/>
  <c r="L789" i="9" s="1"/>
  <c r="O789" i="9" s="1"/>
  <c r="N791" i="9"/>
  <c r="N789" i="9" s="1"/>
  <c r="P791" i="9"/>
  <c r="L796" i="9"/>
  <c r="O796" i="9" s="1"/>
  <c r="M796" i="9"/>
  <c r="P796" i="9" s="1"/>
  <c r="N796" i="9"/>
  <c r="O797" i="9"/>
  <c r="P797" i="9"/>
  <c r="O798" i="9"/>
  <c r="P798" i="9"/>
  <c r="I800" i="9"/>
  <c r="K800" i="9" s="1"/>
  <c r="J800" i="9"/>
  <c r="J785" i="9" s="1"/>
  <c r="J801" i="9"/>
  <c r="K802" i="9"/>
  <c r="J804" i="9"/>
  <c r="K804" i="9"/>
  <c r="M805" i="9"/>
  <c r="P805" i="9" s="1"/>
  <c r="L806" i="9"/>
  <c r="O806" i="9" s="1"/>
  <c r="M806" i="9"/>
  <c r="N806" i="9"/>
  <c r="P806" i="9"/>
  <c r="L807" i="9"/>
  <c r="L805" i="9" s="1"/>
  <c r="O805" i="9" s="1"/>
  <c r="M807" i="9"/>
  <c r="P807" i="9"/>
  <c r="L808" i="9"/>
  <c r="O808" i="9" s="1"/>
  <c r="M808" i="9"/>
  <c r="P808" i="9" s="1"/>
  <c r="O809" i="9"/>
  <c r="P809" i="9"/>
  <c r="N810" i="9"/>
  <c r="N808" i="9" s="1"/>
  <c r="O810" i="9"/>
  <c r="P810" i="9"/>
  <c r="L815" i="9"/>
  <c r="O815" i="9" s="1"/>
  <c r="M815" i="9"/>
  <c r="P815" i="9" s="1"/>
  <c r="N815" i="9"/>
  <c r="O816" i="9"/>
  <c r="P816" i="9"/>
  <c r="O817" i="9"/>
  <c r="P817" i="9"/>
  <c r="H820" i="9"/>
  <c r="I821" i="9"/>
  <c r="J821" i="9"/>
  <c r="I822" i="9"/>
  <c r="J822" i="9"/>
  <c r="I823" i="9"/>
  <c r="J823" i="9"/>
  <c r="I824" i="9"/>
  <c r="J824" i="9"/>
  <c r="I825" i="9"/>
  <c r="K825" i="9" s="1"/>
  <c r="J825" i="9"/>
  <c r="I826" i="9"/>
  <c r="K826" i="9" s="1"/>
  <c r="J826" i="9"/>
  <c r="I827" i="9"/>
  <c r="J827" i="9"/>
  <c r="I828" i="9"/>
  <c r="J828" i="9"/>
  <c r="L22" i="8"/>
  <c r="M22" i="8"/>
  <c r="N22" i="8"/>
  <c r="L25" i="8"/>
  <c r="L15" i="8" s="1"/>
  <c r="M25" i="8"/>
  <c r="M15" i="8" s="1"/>
  <c r="N25" i="8"/>
  <c r="P25" i="8"/>
  <c r="L32" i="8"/>
  <c r="O32" i="8" s="1"/>
  <c r="M32" i="8"/>
  <c r="M29" i="8" s="1"/>
  <c r="N32" i="8"/>
  <c r="P32" i="8"/>
  <c r="L35" i="8"/>
  <c r="M35" i="8"/>
  <c r="N35" i="8"/>
  <c r="N15" i="8" s="1"/>
  <c r="M36" i="8"/>
  <c r="P36" i="8" s="1"/>
  <c r="N36" i="8"/>
  <c r="L42" i="8"/>
  <c r="M42" i="8"/>
  <c r="N42" i="8"/>
  <c r="P42" i="8"/>
  <c r="O45" i="8"/>
  <c r="P45" i="8"/>
  <c r="L46" i="8"/>
  <c r="M46" i="8"/>
  <c r="N46" i="8"/>
  <c r="O48" i="8"/>
  <c r="P48" i="8"/>
  <c r="L49" i="8"/>
  <c r="L47" i="8" s="1"/>
  <c r="O47" i="8" s="1"/>
  <c r="M49" i="8"/>
  <c r="M47" i="8" s="1"/>
  <c r="P47" i="8" s="1"/>
  <c r="N49" i="8"/>
  <c r="N47" i="8" s="1"/>
  <c r="L54" i="8"/>
  <c r="M54" i="8"/>
  <c r="N54" i="8"/>
  <c r="O54" i="8"/>
  <c r="O57" i="8"/>
  <c r="P57" i="8"/>
  <c r="L58" i="8"/>
  <c r="M58" i="8"/>
  <c r="M56" i="8" s="1"/>
  <c r="N58" i="8"/>
  <c r="O60" i="8"/>
  <c r="P60" i="8"/>
  <c r="L61" i="8"/>
  <c r="L59" i="8" s="1"/>
  <c r="M61" i="8"/>
  <c r="M59" i="8" s="1"/>
  <c r="N61" i="8"/>
  <c r="L67" i="8"/>
  <c r="M67" i="8"/>
  <c r="N67" i="8"/>
  <c r="O70" i="8"/>
  <c r="P70" i="8"/>
  <c r="L71" i="8"/>
  <c r="M71" i="8"/>
  <c r="N71" i="8"/>
  <c r="N69" i="8" s="1"/>
  <c r="O73" i="8"/>
  <c r="P73" i="8"/>
  <c r="L74" i="8"/>
  <c r="O74" i="8" s="1"/>
  <c r="M74" i="8"/>
  <c r="N74" i="8"/>
  <c r="N72" i="8" s="1"/>
  <c r="J76" i="8"/>
  <c r="J64" i="8" s="1"/>
  <c r="J77" i="8"/>
  <c r="J65" i="8" s="1"/>
  <c r="I78" i="8"/>
  <c r="K78" i="8" s="1"/>
  <c r="I79" i="8"/>
  <c r="I80" i="8"/>
  <c r="K80" i="8" s="1"/>
  <c r="I81" i="8"/>
  <c r="K81" i="8" s="1"/>
  <c r="I82" i="8"/>
  <c r="K82" i="8" s="1"/>
  <c r="I83" i="8"/>
  <c r="K83" i="8" s="1"/>
  <c r="I84" i="8"/>
  <c r="K84" i="8" s="1"/>
  <c r="J87" i="8"/>
  <c r="L89" i="8"/>
  <c r="M89" i="8"/>
  <c r="N89" i="8"/>
  <c r="O92" i="8"/>
  <c r="P92" i="8"/>
  <c r="L93" i="8"/>
  <c r="M93" i="8"/>
  <c r="M91" i="8" s="1"/>
  <c r="N93" i="8"/>
  <c r="N91" i="8" s="1"/>
  <c r="O95" i="8"/>
  <c r="P95" i="8"/>
  <c r="L96" i="8"/>
  <c r="M96" i="8"/>
  <c r="P96" i="8" s="1"/>
  <c r="N96" i="8"/>
  <c r="N94" i="8" s="1"/>
  <c r="I98" i="8"/>
  <c r="I86" i="8" s="1"/>
  <c r="K86" i="8" s="1"/>
  <c r="J98" i="8"/>
  <c r="J86" i="8" s="1"/>
  <c r="I99" i="8"/>
  <c r="J99" i="8"/>
  <c r="I100" i="8"/>
  <c r="J100" i="8"/>
  <c r="I102" i="8"/>
  <c r="K102" i="8" s="1"/>
  <c r="I103" i="8"/>
  <c r="K103" i="8" s="1"/>
  <c r="I104" i="8"/>
  <c r="K104" i="8" s="1"/>
  <c r="I106" i="8"/>
  <c r="K106" i="8" s="1"/>
  <c r="I107" i="8"/>
  <c r="K107" i="8" s="1"/>
  <c r="I109" i="8"/>
  <c r="K109" i="8" s="1"/>
  <c r="I110" i="8"/>
  <c r="K110" i="8" s="1"/>
  <c r="I111" i="8"/>
  <c r="K111" i="8" s="1"/>
  <c r="J111" i="8"/>
  <c r="J112" i="8"/>
  <c r="I113" i="8"/>
  <c r="K113" i="8" s="1"/>
  <c r="I114" i="8"/>
  <c r="K114" i="8" s="1"/>
  <c r="I115" i="8"/>
  <c r="K115" i="8" s="1"/>
  <c r="I116" i="8"/>
  <c r="K116" i="8" s="1"/>
  <c r="L120" i="8"/>
  <c r="M120" i="8"/>
  <c r="N120" i="8"/>
  <c r="O120" i="8"/>
  <c r="O123" i="8"/>
  <c r="P123" i="8"/>
  <c r="L124" i="8"/>
  <c r="L122" i="8" s="1"/>
  <c r="O122" i="8" s="1"/>
  <c r="M124" i="8"/>
  <c r="M122" i="8" s="1"/>
  <c r="P122" i="8" s="1"/>
  <c r="N124" i="8"/>
  <c r="N122" i="8" s="1"/>
  <c r="O126" i="8"/>
  <c r="P126" i="8"/>
  <c r="L127" i="8"/>
  <c r="M127" i="8"/>
  <c r="M125" i="8" s="1"/>
  <c r="P125" i="8" s="1"/>
  <c r="N127" i="8"/>
  <c r="N125" i="8" s="1"/>
  <c r="J130" i="8"/>
  <c r="L133" i="8"/>
  <c r="O133" i="8" s="1"/>
  <c r="M133" i="8"/>
  <c r="N133" i="8"/>
  <c r="P133" i="8"/>
  <c r="O136" i="8"/>
  <c r="P136" i="8"/>
  <c r="L137" i="8"/>
  <c r="M137" i="8"/>
  <c r="P137" i="8" s="1"/>
  <c r="N137" i="8"/>
  <c r="O139" i="8"/>
  <c r="P139" i="8"/>
  <c r="L140" i="8"/>
  <c r="M140" i="8"/>
  <c r="N140" i="8"/>
  <c r="N138" i="8" s="1"/>
  <c r="I144" i="8"/>
  <c r="K144" i="8" s="1"/>
  <c r="I145" i="8"/>
  <c r="I146" i="8"/>
  <c r="K146" i="8" s="1"/>
  <c r="J148" i="8"/>
  <c r="L150" i="8"/>
  <c r="M150" i="8"/>
  <c r="N150" i="8"/>
  <c r="O150" i="8"/>
  <c r="O153" i="8"/>
  <c r="P153" i="8"/>
  <c r="L154" i="8"/>
  <c r="L152" i="8" s="1"/>
  <c r="O152" i="8" s="1"/>
  <c r="M154" i="8"/>
  <c r="M152" i="8" s="1"/>
  <c r="P152" i="8" s="1"/>
  <c r="N154" i="8"/>
  <c r="N152" i="8" s="1"/>
  <c r="O156" i="8"/>
  <c r="P156" i="8"/>
  <c r="L157" i="8"/>
  <c r="L155" i="8" s="1"/>
  <c r="O155" i="8" s="1"/>
  <c r="M157" i="8"/>
  <c r="M155" i="8" s="1"/>
  <c r="P155" i="8" s="1"/>
  <c r="N157" i="8"/>
  <c r="N155" i="8" s="1"/>
  <c r="I159" i="8"/>
  <c r="K159" i="8" s="1"/>
  <c r="L166" i="8"/>
  <c r="M166" i="8"/>
  <c r="P166" i="8" s="1"/>
  <c r="N166" i="8"/>
  <c r="O166" i="8"/>
  <c r="O169" i="8"/>
  <c r="P169" i="8"/>
  <c r="L170" i="8"/>
  <c r="M170" i="8"/>
  <c r="M168" i="8" s="1"/>
  <c r="N170" i="8"/>
  <c r="N168" i="8" s="1"/>
  <c r="O172" i="8"/>
  <c r="P172" i="8"/>
  <c r="L173" i="8"/>
  <c r="M173" i="8"/>
  <c r="P173" i="8" s="1"/>
  <c r="N173" i="8"/>
  <c r="N171" i="8" s="1"/>
  <c r="J174" i="8"/>
  <c r="I176" i="8"/>
  <c r="I174" i="8" s="1"/>
  <c r="J177" i="8"/>
  <c r="L182" i="8"/>
  <c r="O182" i="8" s="1"/>
  <c r="M182" i="8"/>
  <c r="P182" i="8" s="1"/>
  <c r="N182" i="8"/>
  <c r="O185" i="8"/>
  <c r="P185" i="8"/>
  <c r="L186" i="8"/>
  <c r="M186" i="8"/>
  <c r="N186" i="8"/>
  <c r="O188" i="8"/>
  <c r="P188" i="8"/>
  <c r="L189" i="8"/>
  <c r="M189" i="8"/>
  <c r="P189" i="8" s="1"/>
  <c r="N189" i="8"/>
  <c r="N187" i="8" s="1"/>
  <c r="J190" i="8"/>
  <c r="L191" i="8"/>
  <c r="O191" i="8" s="1"/>
  <c r="P191" i="8"/>
  <c r="I193" i="8"/>
  <c r="I190" i="8" s="1"/>
  <c r="K190" i="8" s="1"/>
  <c r="J194" i="8"/>
  <c r="J197" i="8"/>
  <c r="N198" i="8"/>
  <c r="P198" i="8"/>
  <c r="L199" i="8"/>
  <c r="L200" i="8"/>
  <c r="L201" i="8"/>
  <c r="L202" i="8"/>
  <c r="I204" i="8"/>
  <c r="K204" i="8" s="1"/>
  <c r="K206" i="8"/>
  <c r="K207" i="8"/>
  <c r="J208" i="8"/>
  <c r="N209" i="8"/>
  <c r="P209" i="8"/>
  <c r="L210" i="8"/>
  <c r="L211" i="8"/>
  <c r="L212" i="8"/>
  <c r="I214" i="8"/>
  <c r="K214" i="8" s="1"/>
  <c r="I215" i="8"/>
  <c r="I208" i="8" s="1"/>
  <c r="K208" i="8" s="1"/>
  <c r="J216" i="8"/>
  <c r="P217" i="8"/>
  <c r="L218" i="8"/>
  <c r="L219" i="8"/>
  <c r="L220" i="8"/>
  <c r="N220" i="8"/>
  <c r="N217" i="8" s="1"/>
  <c r="I223" i="8"/>
  <c r="K223" i="8" s="1"/>
  <c r="I224" i="8"/>
  <c r="I216" i="8" s="1"/>
  <c r="K216" i="8" s="1"/>
  <c r="I225" i="8"/>
  <c r="N228" i="8"/>
  <c r="N229" i="8"/>
  <c r="N230" i="8"/>
  <c r="N231" i="8"/>
  <c r="J233" i="8"/>
  <c r="I235" i="8"/>
  <c r="K235" i="8" s="1"/>
  <c r="J235" i="8"/>
  <c r="I236" i="8"/>
  <c r="K236" i="8" s="1"/>
  <c r="J236" i="8"/>
  <c r="J237" i="8"/>
  <c r="J226" i="8" s="1"/>
  <c r="J180" i="8" s="1"/>
  <c r="N238" i="8"/>
  <c r="P238" i="8"/>
  <c r="L239" i="8"/>
  <c r="L240" i="8"/>
  <c r="L241" i="8"/>
  <c r="L242" i="8"/>
  <c r="I244" i="8"/>
  <c r="K246" i="8"/>
  <c r="K247" i="8"/>
  <c r="J248" i="8"/>
  <c r="N249" i="8"/>
  <c r="P249" i="8"/>
  <c r="L250" i="8"/>
  <c r="L251" i="8"/>
  <c r="L252" i="8"/>
  <c r="L253" i="8"/>
  <c r="I255" i="8"/>
  <c r="K255" i="8" s="1"/>
  <c r="K257" i="8"/>
  <c r="K258" i="8"/>
  <c r="J260" i="8"/>
  <c r="L262" i="8"/>
  <c r="M262" i="8"/>
  <c r="P262" i="8" s="1"/>
  <c r="N262" i="8"/>
  <c r="O262" i="8"/>
  <c r="O265" i="8"/>
  <c r="P265" i="8"/>
  <c r="L266" i="8"/>
  <c r="M266" i="8"/>
  <c r="N266" i="8"/>
  <c r="N264" i="8" s="1"/>
  <c r="O268" i="8"/>
  <c r="P268" i="8"/>
  <c r="L269" i="8"/>
  <c r="L267" i="8" s="1"/>
  <c r="O267" i="8" s="1"/>
  <c r="M269" i="8"/>
  <c r="N269" i="8"/>
  <c r="N267" i="8" s="1"/>
  <c r="I271" i="8"/>
  <c r="K271" i="8" s="1"/>
  <c r="J276" i="8"/>
  <c r="L278" i="8"/>
  <c r="O278" i="8" s="1"/>
  <c r="M278" i="8"/>
  <c r="N278" i="8"/>
  <c r="P278" i="8"/>
  <c r="O281" i="8"/>
  <c r="P281" i="8"/>
  <c r="L282" i="8"/>
  <c r="L280" i="8" s="1"/>
  <c r="O280" i="8" s="1"/>
  <c r="M282" i="8"/>
  <c r="P282" i="8" s="1"/>
  <c r="N282" i="8"/>
  <c r="O284" i="8"/>
  <c r="P284" i="8"/>
  <c r="L285" i="8"/>
  <c r="O285" i="8" s="1"/>
  <c r="M285" i="8"/>
  <c r="M283" i="8" s="1"/>
  <c r="P283" i="8" s="1"/>
  <c r="N285" i="8"/>
  <c r="N283" i="8" s="1"/>
  <c r="I287" i="8"/>
  <c r="I276" i="8" s="1"/>
  <c r="K276" i="8" s="1"/>
  <c r="I288" i="8"/>
  <c r="J288" i="8" s="1"/>
  <c r="J275" i="8" s="1"/>
  <c r="I290" i="8"/>
  <c r="K290" i="8" s="1"/>
  <c r="I291" i="8"/>
  <c r="K291" i="8" s="1"/>
  <c r="I293" i="8"/>
  <c r="K293" i="8" s="1"/>
  <c r="I294" i="8"/>
  <c r="K294" i="8" s="1"/>
  <c r="J297" i="8"/>
  <c r="L299" i="8"/>
  <c r="M299" i="8"/>
  <c r="P299" i="8" s="1"/>
  <c r="N299" i="8"/>
  <c r="O299" i="8"/>
  <c r="O302" i="8"/>
  <c r="P302" i="8"/>
  <c r="L303" i="8"/>
  <c r="M303" i="8"/>
  <c r="M301" i="8" s="1"/>
  <c r="P301" i="8" s="1"/>
  <c r="N303" i="8"/>
  <c r="N301" i="8" s="1"/>
  <c r="O305" i="8"/>
  <c r="P305" i="8"/>
  <c r="L306" i="8"/>
  <c r="L304" i="8" s="1"/>
  <c r="O304" i="8" s="1"/>
  <c r="M306" i="8"/>
  <c r="M304" i="8" s="1"/>
  <c r="P304" i="8" s="1"/>
  <c r="N306" i="8"/>
  <c r="N304" i="8" s="1"/>
  <c r="I309" i="8"/>
  <c r="K309" i="8" s="1"/>
  <c r="I310" i="8"/>
  <c r="K310" i="8" s="1"/>
  <c r="I311" i="8"/>
  <c r="K311" i="8" s="1"/>
  <c r="I312" i="8"/>
  <c r="K312" i="8" s="1"/>
  <c r="J314" i="8"/>
  <c r="L316" i="8"/>
  <c r="O316" i="8" s="1"/>
  <c r="M316" i="8"/>
  <c r="P316" i="8" s="1"/>
  <c r="N316" i="8"/>
  <c r="O319" i="8"/>
  <c r="P319" i="8"/>
  <c r="L320" i="8"/>
  <c r="L318" i="8" s="1"/>
  <c r="O318" i="8" s="1"/>
  <c r="M320" i="8"/>
  <c r="N320" i="8"/>
  <c r="N318" i="8" s="1"/>
  <c r="O322" i="8"/>
  <c r="P322" i="8"/>
  <c r="L323" i="8"/>
  <c r="L321" i="8" s="1"/>
  <c r="O321" i="8" s="1"/>
  <c r="M323" i="8"/>
  <c r="N323" i="8"/>
  <c r="N321" i="8" s="1"/>
  <c r="I325" i="8"/>
  <c r="I314" i="8" s="1"/>
  <c r="K314" i="8" s="1"/>
  <c r="I327" i="8"/>
  <c r="L329" i="8"/>
  <c r="M329" i="8"/>
  <c r="P329" i="8" s="1"/>
  <c r="N329" i="8"/>
  <c r="O332" i="8"/>
  <c r="P332" i="8"/>
  <c r="L333" i="8"/>
  <c r="L331" i="8" s="1"/>
  <c r="M333" i="8"/>
  <c r="N333" i="8"/>
  <c r="O335" i="8"/>
  <c r="P335" i="8"/>
  <c r="L336" i="8"/>
  <c r="O336" i="8" s="1"/>
  <c r="M336" i="8"/>
  <c r="N336" i="8"/>
  <c r="N334" i="8" s="1"/>
  <c r="D337" i="8"/>
  <c r="I338" i="8"/>
  <c r="J338" i="8"/>
  <c r="I340" i="8"/>
  <c r="K340" i="8" s="1"/>
  <c r="J342" i="8"/>
  <c r="J343" i="8"/>
  <c r="L346" i="8"/>
  <c r="O346" i="8" s="1"/>
  <c r="M346" i="8"/>
  <c r="N346" i="8"/>
  <c r="O349" i="8"/>
  <c r="P349" i="8"/>
  <c r="L350" i="8"/>
  <c r="M350" i="8"/>
  <c r="N350" i="8"/>
  <c r="N348" i="8" s="1"/>
  <c r="O352" i="8"/>
  <c r="P352" i="8"/>
  <c r="L353" i="8"/>
  <c r="M353" i="8"/>
  <c r="N353" i="8"/>
  <c r="I355" i="8"/>
  <c r="J358" i="8"/>
  <c r="K358" i="8"/>
  <c r="I359" i="8"/>
  <c r="J359" i="8"/>
  <c r="I360" i="8"/>
  <c r="J360" i="8"/>
  <c r="J361" i="8"/>
  <c r="K361" i="8"/>
  <c r="I362" i="8"/>
  <c r="J362" i="8"/>
  <c r="J355" i="8" s="1"/>
  <c r="J363" i="8"/>
  <c r="K363" i="8"/>
  <c r="I365" i="8"/>
  <c r="J368" i="8"/>
  <c r="K368" i="8"/>
  <c r="I369" i="8"/>
  <c r="J369" i="8"/>
  <c r="I370" i="8"/>
  <c r="J370" i="8"/>
  <c r="J371" i="8"/>
  <c r="K371" i="8"/>
  <c r="I372" i="8"/>
  <c r="J372" i="8"/>
  <c r="J365" i="8" s="1"/>
  <c r="A373" i="8"/>
  <c r="J373" i="8"/>
  <c r="K373" i="8"/>
  <c r="I374" i="8"/>
  <c r="J377" i="8"/>
  <c r="K377" i="8"/>
  <c r="I378" i="8"/>
  <c r="J378" i="8"/>
  <c r="I379" i="8"/>
  <c r="J379" i="8"/>
  <c r="J380" i="8"/>
  <c r="K380" i="8"/>
  <c r="I381" i="8"/>
  <c r="J381" i="8"/>
  <c r="J374" i="8" s="1"/>
  <c r="A382" i="8"/>
  <c r="J382" i="8"/>
  <c r="K382" i="8"/>
  <c r="D384" i="8"/>
  <c r="I385" i="8"/>
  <c r="J385" i="8"/>
  <c r="I388" i="8"/>
  <c r="K388" i="8" s="1"/>
  <c r="J388" i="8"/>
  <c r="L390" i="8"/>
  <c r="M390" i="8"/>
  <c r="P390" i="8" s="1"/>
  <c r="N390" i="8"/>
  <c r="O390" i="8"/>
  <c r="O393" i="8"/>
  <c r="P393" i="8"/>
  <c r="L394" i="8"/>
  <c r="M394" i="8"/>
  <c r="P394" i="8" s="1"/>
  <c r="N394" i="8"/>
  <c r="O396" i="8"/>
  <c r="P396" i="8"/>
  <c r="L397" i="8"/>
  <c r="L395" i="8" s="1"/>
  <c r="O395" i="8" s="1"/>
  <c r="M397" i="8"/>
  <c r="M395" i="8" s="1"/>
  <c r="P395" i="8" s="1"/>
  <c r="N397" i="8"/>
  <c r="N395" i="8" s="1"/>
  <c r="K399" i="8"/>
  <c r="K400" i="8"/>
  <c r="I401" i="8"/>
  <c r="K401" i="8" s="1"/>
  <c r="J401" i="8"/>
  <c r="L403" i="8"/>
  <c r="M403" i="8"/>
  <c r="P403" i="8" s="1"/>
  <c r="N403" i="8"/>
  <c r="O406" i="8"/>
  <c r="P406" i="8"/>
  <c r="L407" i="8"/>
  <c r="M407" i="8"/>
  <c r="N407" i="8"/>
  <c r="N405" i="8" s="1"/>
  <c r="O409" i="8"/>
  <c r="P409" i="8"/>
  <c r="L410" i="8"/>
  <c r="L408" i="8" s="1"/>
  <c r="O408" i="8" s="1"/>
  <c r="M410" i="8"/>
  <c r="N410" i="8"/>
  <c r="N408" i="8" s="1"/>
  <c r="K412" i="8"/>
  <c r="K413" i="8"/>
  <c r="L420" i="8"/>
  <c r="O420" i="8" s="1"/>
  <c r="M420" i="8"/>
  <c r="N420" i="8"/>
  <c r="P420" i="8"/>
  <c r="O423" i="8"/>
  <c r="P423" i="8"/>
  <c r="L424" i="8"/>
  <c r="O424" i="8" s="1"/>
  <c r="N424" i="8"/>
  <c r="N422" i="8" s="1"/>
  <c r="M429" i="8"/>
  <c r="P429" i="8" s="1"/>
  <c r="N429" i="8"/>
  <c r="O430" i="8"/>
  <c r="P430" i="8"/>
  <c r="L431" i="8"/>
  <c r="P431" i="8"/>
  <c r="J434" i="8"/>
  <c r="J418" i="8" s="1"/>
  <c r="I435" i="8"/>
  <c r="I433" i="8" s="1"/>
  <c r="I417" i="8" s="1"/>
  <c r="I437" i="8"/>
  <c r="K437" i="8" s="1"/>
  <c r="I438" i="8"/>
  <c r="K438" i="8" s="1"/>
  <c r="I439" i="8"/>
  <c r="K439" i="8" s="1"/>
  <c r="I440" i="8"/>
  <c r="K440" i="8" s="1"/>
  <c r="I441" i="8"/>
  <c r="K441" i="8" s="1"/>
  <c r="J442" i="8"/>
  <c r="J443" i="8"/>
  <c r="L445" i="8"/>
  <c r="M445" i="8"/>
  <c r="P445" i="8" s="1"/>
  <c r="N445" i="8"/>
  <c r="O445" i="8"/>
  <c r="O448" i="8"/>
  <c r="P448" i="8"/>
  <c r="L449" i="8"/>
  <c r="L447" i="8" s="1"/>
  <c r="O447" i="8" s="1"/>
  <c r="N449" i="8"/>
  <c r="N447" i="8" s="1"/>
  <c r="M454" i="8"/>
  <c r="P454" i="8" s="1"/>
  <c r="N454" i="8"/>
  <c r="O455" i="8"/>
  <c r="P455" i="8"/>
  <c r="L456" i="8"/>
  <c r="O456" i="8" s="1"/>
  <c r="P456" i="8"/>
  <c r="K458" i="8"/>
  <c r="I460" i="8"/>
  <c r="I442" i="8" s="1"/>
  <c r="K442" i="8" s="1"/>
  <c r="I462" i="8"/>
  <c r="I463" i="8"/>
  <c r="I464" i="8"/>
  <c r="I465" i="8"/>
  <c r="K465" i="8" s="1"/>
  <c r="J465" i="8"/>
  <c r="I466" i="8"/>
  <c r="K466" i="8" s="1"/>
  <c r="J466" i="8"/>
  <c r="L468" i="8"/>
  <c r="O468" i="8" s="1"/>
  <c r="M468" i="8"/>
  <c r="N468" i="8"/>
  <c r="P468" i="8"/>
  <c r="O471" i="8"/>
  <c r="P471" i="8"/>
  <c r="L472" i="8"/>
  <c r="L470" i="8" s="1"/>
  <c r="N472" i="8"/>
  <c r="N470" i="8" s="1"/>
  <c r="M477" i="8"/>
  <c r="N477" i="8"/>
  <c r="P477" i="8"/>
  <c r="O478" i="8"/>
  <c r="P478" i="8"/>
  <c r="L479" i="8"/>
  <c r="L477" i="8" s="1"/>
  <c r="O477" i="8" s="1"/>
  <c r="P479" i="8"/>
  <c r="I483" i="8"/>
  <c r="K483" i="8" s="1"/>
  <c r="I485" i="8"/>
  <c r="K485" i="8" s="1"/>
  <c r="I487" i="8"/>
  <c r="K487" i="8" s="1"/>
  <c r="I489" i="8"/>
  <c r="K489" i="8" s="1"/>
  <c r="I492" i="8"/>
  <c r="K492" i="8" s="1"/>
  <c r="I495" i="8"/>
  <c r="K495" i="8" s="1"/>
  <c r="I498" i="8"/>
  <c r="K498" i="8" s="1"/>
  <c r="J500" i="8"/>
  <c r="K500" i="8"/>
  <c r="K501" i="8"/>
  <c r="L503" i="8"/>
  <c r="L502" i="8" s="1"/>
  <c r="O502" i="8" s="1"/>
  <c r="M503" i="8"/>
  <c r="P503" i="8" s="1"/>
  <c r="N503" i="8"/>
  <c r="L504" i="8"/>
  <c r="M504" i="8"/>
  <c r="O504" i="8"/>
  <c r="P504" i="8"/>
  <c r="L505" i="8"/>
  <c r="M505" i="8"/>
  <c r="O505" i="8"/>
  <c r="P505" i="8"/>
  <c r="O506" i="8"/>
  <c r="P506" i="8"/>
  <c r="N507" i="8"/>
  <c r="N505" i="8" s="1"/>
  <c r="O507" i="8"/>
  <c r="P507" i="8"/>
  <c r="L512" i="8"/>
  <c r="O512" i="8" s="1"/>
  <c r="M512" i="8"/>
  <c r="P512" i="8" s="1"/>
  <c r="N512" i="8"/>
  <c r="O513" i="8"/>
  <c r="P513" i="8"/>
  <c r="O514" i="8"/>
  <c r="P514" i="8"/>
  <c r="K516" i="8"/>
  <c r="J517" i="8"/>
  <c r="J501" i="8" s="1"/>
  <c r="K517" i="8"/>
  <c r="L524" i="8"/>
  <c r="M524" i="8"/>
  <c r="P524" i="8" s="1"/>
  <c r="N524" i="8"/>
  <c r="O524" i="8"/>
  <c r="M525" i="8"/>
  <c r="P525" i="8"/>
  <c r="M526" i="8"/>
  <c r="P526" i="8" s="1"/>
  <c r="O527" i="8"/>
  <c r="P527" i="8"/>
  <c r="L528" i="8"/>
  <c r="L526" i="8" s="1"/>
  <c r="O526" i="8" s="1"/>
  <c r="N528" i="8"/>
  <c r="N526" i="8" s="1"/>
  <c r="P528" i="8"/>
  <c r="M533" i="8"/>
  <c r="P533" i="8" s="1"/>
  <c r="N533" i="8"/>
  <c r="O534" i="8"/>
  <c r="P534" i="8"/>
  <c r="L535" i="8"/>
  <c r="O535" i="8" s="1"/>
  <c r="P535" i="8"/>
  <c r="I537" i="8"/>
  <c r="I522" i="8" s="1"/>
  <c r="K522" i="8" s="1"/>
  <c r="I538" i="8"/>
  <c r="I539" i="8"/>
  <c r="K539" i="8" s="1"/>
  <c r="I540" i="8"/>
  <c r="K540" i="8" s="1"/>
  <c r="I541" i="8"/>
  <c r="K541" i="8" s="1"/>
  <c r="I542" i="8"/>
  <c r="K542" i="8" s="1"/>
  <c r="L545" i="8"/>
  <c r="O548" i="8"/>
  <c r="P548" i="8"/>
  <c r="L549" i="8"/>
  <c r="M549" i="8" s="1"/>
  <c r="N549" i="8"/>
  <c r="N546" i="8" s="1"/>
  <c r="M555" i="8"/>
  <c r="N555" i="8"/>
  <c r="N545" i="8" s="1"/>
  <c r="O556" i="8"/>
  <c r="P556" i="8"/>
  <c r="L557" i="8"/>
  <c r="L555" i="8" s="1"/>
  <c r="O555" i="8" s="1"/>
  <c r="P557" i="8"/>
  <c r="I560" i="8"/>
  <c r="J560" i="8"/>
  <c r="I561" i="8"/>
  <c r="K561" i="8" s="1"/>
  <c r="J561" i="8"/>
  <c r="I568" i="8"/>
  <c r="K568" i="8" s="1"/>
  <c r="J568" i="8"/>
  <c r="I569" i="8"/>
  <c r="J569" i="8"/>
  <c r="I576" i="8"/>
  <c r="J576" i="8"/>
  <c r="J559" i="8" s="1"/>
  <c r="J543" i="8" s="1"/>
  <c r="I577" i="8"/>
  <c r="K577" i="8" s="1"/>
  <c r="J582" i="8"/>
  <c r="J583" i="8"/>
  <c r="J577" i="8" s="1"/>
  <c r="I593" i="8"/>
  <c r="I592" i="8" s="1"/>
  <c r="I594" i="8"/>
  <c r="J595" i="8"/>
  <c r="J593" i="8" s="1"/>
  <c r="J596" i="8"/>
  <c r="J594" i="8" s="1"/>
  <c r="J603" i="8"/>
  <c r="J604" i="8"/>
  <c r="J611" i="8"/>
  <c r="K611" i="8"/>
  <c r="J612" i="8"/>
  <c r="K612" i="8"/>
  <c r="J613" i="8"/>
  <c r="K613" i="8"/>
  <c r="I620" i="8"/>
  <c r="K620" i="8" s="1"/>
  <c r="J620" i="8"/>
  <c r="I621" i="8"/>
  <c r="J621" i="8"/>
  <c r="L630" i="8"/>
  <c r="M630" i="8"/>
  <c r="M629" i="8" s="1"/>
  <c r="P629" i="8" s="1"/>
  <c r="N630" i="8"/>
  <c r="O630" i="8"/>
  <c r="M631" i="8"/>
  <c r="P631" i="8"/>
  <c r="M632" i="8"/>
  <c r="P632" i="8" s="1"/>
  <c r="O633" i="8"/>
  <c r="P633" i="8"/>
  <c r="L634" i="8"/>
  <c r="L632" i="8" s="1"/>
  <c r="O632" i="8" s="1"/>
  <c r="N634" i="8"/>
  <c r="N632" i="8" s="1"/>
  <c r="P634" i="8"/>
  <c r="M639" i="8"/>
  <c r="P639" i="8" s="1"/>
  <c r="N639" i="8"/>
  <c r="O640" i="8"/>
  <c r="P640" i="8"/>
  <c r="L641" i="8"/>
  <c r="P641" i="8"/>
  <c r="I643" i="8"/>
  <c r="K643" i="8" s="1"/>
  <c r="I644" i="8"/>
  <c r="K644" i="8" s="1"/>
  <c r="J645" i="8"/>
  <c r="K645" i="8"/>
  <c r="J646" i="8"/>
  <c r="K646" i="8"/>
  <c r="I647" i="8"/>
  <c r="K647" i="8" s="1"/>
  <c r="J647" i="8"/>
  <c r="J648" i="8"/>
  <c r="K648" i="8"/>
  <c r="I649" i="8"/>
  <c r="K649" i="8" s="1"/>
  <c r="J649" i="8"/>
  <c r="J650" i="8"/>
  <c r="K650" i="8"/>
  <c r="I651" i="8"/>
  <c r="J651" i="8"/>
  <c r="J628" i="8" s="1"/>
  <c r="J652" i="8"/>
  <c r="K652" i="8"/>
  <c r="J654" i="8"/>
  <c r="L656" i="8"/>
  <c r="M656" i="8"/>
  <c r="P656" i="8" s="1"/>
  <c r="N656" i="8"/>
  <c r="N655" i="8" s="1"/>
  <c r="M657" i="8"/>
  <c r="P657" i="8" s="1"/>
  <c r="M658" i="8"/>
  <c r="P658" i="8" s="1"/>
  <c r="N658" i="8"/>
  <c r="O659" i="8"/>
  <c r="P659" i="8"/>
  <c r="L660" i="8"/>
  <c r="N660" i="8"/>
  <c r="N657" i="8" s="1"/>
  <c r="P660" i="8"/>
  <c r="L665" i="8"/>
  <c r="M665" i="8"/>
  <c r="P665" i="8" s="1"/>
  <c r="N665" i="8"/>
  <c r="O665" i="8"/>
  <c r="O666" i="8"/>
  <c r="P666" i="8"/>
  <c r="O667" i="8"/>
  <c r="P667" i="8"/>
  <c r="I669" i="8"/>
  <c r="K669" i="8" s="1"/>
  <c r="I670" i="8"/>
  <c r="K670" i="8" s="1"/>
  <c r="I671" i="8"/>
  <c r="K671" i="8" s="1"/>
  <c r="J675" i="8"/>
  <c r="J669" i="8" s="1"/>
  <c r="I678" i="8"/>
  <c r="K678" i="8" s="1"/>
  <c r="J678" i="8"/>
  <c r="J679" i="8"/>
  <c r="L686" i="8"/>
  <c r="M686" i="8"/>
  <c r="N686" i="8"/>
  <c r="O686" i="8"/>
  <c r="P686" i="8"/>
  <c r="L690" i="8"/>
  <c r="L687" i="8" s="1"/>
  <c r="L685" i="8" s="1"/>
  <c r="N690" i="8"/>
  <c r="L695" i="8"/>
  <c r="O695" i="8" s="1"/>
  <c r="M695" i="8"/>
  <c r="P695" i="8" s="1"/>
  <c r="N695" i="8"/>
  <c r="O696" i="8"/>
  <c r="P696" i="8"/>
  <c r="O697" i="8"/>
  <c r="P697" i="8"/>
  <c r="I699" i="8"/>
  <c r="K699" i="8" s="1"/>
  <c r="J699" i="8"/>
  <c r="I700" i="8"/>
  <c r="K700" i="8" s="1"/>
  <c r="J700" i="8"/>
  <c r="I701" i="8"/>
  <c r="J701" i="8"/>
  <c r="I704" i="8"/>
  <c r="I707" i="8"/>
  <c r="I708" i="8"/>
  <c r="K708" i="8" s="1"/>
  <c r="J708" i="8"/>
  <c r="J718" i="8"/>
  <c r="J719" i="8"/>
  <c r="I720" i="8"/>
  <c r="K720" i="8" s="1"/>
  <c r="J720" i="8"/>
  <c r="I721" i="8"/>
  <c r="K721" i="8" s="1"/>
  <c r="I722" i="8"/>
  <c r="K722" i="8" s="1"/>
  <c r="I723" i="8"/>
  <c r="K723" i="8" s="1"/>
  <c r="J723" i="8"/>
  <c r="J724" i="8"/>
  <c r="I725" i="8"/>
  <c r="K725" i="8" s="1"/>
  <c r="J725" i="8"/>
  <c r="I726" i="8"/>
  <c r="K726" i="8" s="1"/>
  <c r="J726" i="8"/>
  <c r="J727" i="8"/>
  <c r="I728" i="8"/>
  <c r="K728" i="8" s="1"/>
  <c r="J728" i="8"/>
  <c r="I729" i="8"/>
  <c r="K729" i="8" s="1"/>
  <c r="J729" i="8"/>
  <c r="J736" i="8"/>
  <c r="K736" i="8"/>
  <c r="L738" i="8"/>
  <c r="O738" i="8" s="1"/>
  <c r="M738" i="8"/>
  <c r="P738" i="8" s="1"/>
  <c r="N738" i="8"/>
  <c r="L739" i="8"/>
  <c r="M739" i="8"/>
  <c r="P739" i="8" s="1"/>
  <c r="L740" i="8"/>
  <c r="O740" i="8" s="1"/>
  <c r="M740" i="8"/>
  <c r="P740" i="8" s="1"/>
  <c r="O741" i="8"/>
  <c r="P741" i="8"/>
  <c r="N742" i="8"/>
  <c r="O742" i="8"/>
  <c r="P742" i="8"/>
  <c r="L747" i="8"/>
  <c r="M747" i="8"/>
  <c r="P747" i="8" s="1"/>
  <c r="N747" i="8"/>
  <c r="O747" i="8"/>
  <c r="O748" i="8"/>
  <c r="P748" i="8"/>
  <c r="O749" i="8"/>
  <c r="P749" i="8"/>
  <c r="J753" i="8"/>
  <c r="K753" i="8"/>
  <c r="L755" i="8"/>
  <c r="O755" i="8" s="1"/>
  <c r="M755" i="8"/>
  <c r="P755" i="8" s="1"/>
  <c r="N755" i="8"/>
  <c r="L756" i="8"/>
  <c r="M756" i="8"/>
  <c r="M754" i="8" s="1"/>
  <c r="P754" i="8" s="1"/>
  <c r="P756" i="8"/>
  <c r="L757" i="8"/>
  <c r="M757" i="8"/>
  <c r="P757" i="8" s="1"/>
  <c r="O757" i="8"/>
  <c r="O758" i="8"/>
  <c r="P758" i="8"/>
  <c r="N759" i="8"/>
  <c r="O759" i="8"/>
  <c r="P759" i="8"/>
  <c r="L764" i="8"/>
  <c r="M764" i="8"/>
  <c r="P764" i="8" s="1"/>
  <c r="N764" i="8"/>
  <c r="O764" i="8"/>
  <c r="O765" i="8"/>
  <c r="P765" i="8"/>
  <c r="O766" i="8"/>
  <c r="P766" i="8"/>
  <c r="J769" i="8"/>
  <c r="K769" i="8"/>
  <c r="L771" i="8"/>
  <c r="M771" i="8"/>
  <c r="P771" i="8" s="1"/>
  <c r="N771" i="8"/>
  <c r="O771" i="8"/>
  <c r="L772" i="8"/>
  <c r="L770" i="8" s="1"/>
  <c r="O770" i="8" s="1"/>
  <c r="M772" i="8"/>
  <c r="P772" i="8"/>
  <c r="L773" i="8"/>
  <c r="O773" i="8" s="1"/>
  <c r="M773" i="8"/>
  <c r="P773" i="8" s="1"/>
  <c r="O774" i="8"/>
  <c r="P774" i="8"/>
  <c r="N775" i="8"/>
  <c r="O775" i="8"/>
  <c r="P775" i="8"/>
  <c r="L780" i="8"/>
  <c r="M780" i="8"/>
  <c r="P780" i="8" s="1"/>
  <c r="N780" i="8"/>
  <c r="O780" i="8"/>
  <c r="O781" i="8"/>
  <c r="P781" i="8"/>
  <c r="O782" i="8"/>
  <c r="P782" i="8"/>
  <c r="L787" i="8"/>
  <c r="O787" i="8" s="1"/>
  <c r="M787" i="8"/>
  <c r="P787" i="8" s="1"/>
  <c r="N787" i="8"/>
  <c r="M788" i="8"/>
  <c r="P788" i="8" s="1"/>
  <c r="N788" i="8"/>
  <c r="M789" i="8"/>
  <c r="P789" i="8"/>
  <c r="O790" i="8"/>
  <c r="P790" i="8"/>
  <c r="L791" i="8"/>
  <c r="L788" i="8" s="1"/>
  <c r="L786" i="8" s="1"/>
  <c r="O786" i="8" s="1"/>
  <c r="N791" i="8"/>
  <c r="N789" i="8" s="1"/>
  <c r="P791" i="8"/>
  <c r="L796" i="8"/>
  <c r="O796" i="8" s="1"/>
  <c r="M796" i="8"/>
  <c r="P796" i="8" s="1"/>
  <c r="N796" i="8"/>
  <c r="O797" i="8"/>
  <c r="P797" i="8"/>
  <c r="O798" i="8"/>
  <c r="P798" i="8"/>
  <c r="I800" i="8"/>
  <c r="I785" i="8" s="1"/>
  <c r="K785" i="8" s="1"/>
  <c r="J800" i="8"/>
  <c r="J785" i="8" s="1"/>
  <c r="J801" i="8"/>
  <c r="K802" i="8"/>
  <c r="J804" i="8"/>
  <c r="K804" i="8"/>
  <c r="L806" i="8"/>
  <c r="M806" i="8"/>
  <c r="P806" i="8" s="1"/>
  <c r="N806" i="8"/>
  <c r="L807" i="8"/>
  <c r="M807" i="8"/>
  <c r="M805" i="8" s="1"/>
  <c r="P805" i="8" s="1"/>
  <c r="N807" i="8"/>
  <c r="O807" i="8"/>
  <c r="L808" i="8"/>
  <c r="M808" i="8"/>
  <c r="O808" i="8"/>
  <c r="P808" i="8"/>
  <c r="O809" i="8"/>
  <c r="P809" i="8"/>
  <c r="N810" i="8"/>
  <c r="N808" i="8" s="1"/>
  <c r="O810" i="8"/>
  <c r="P810" i="8"/>
  <c r="L815" i="8"/>
  <c r="O815" i="8" s="1"/>
  <c r="M815" i="8"/>
  <c r="P815" i="8" s="1"/>
  <c r="N815" i="8"/>
  <c r="O816" i="8"/>
  <c r="P816" i="8"/>
  <c r="O817" i="8"/>
  <c r="P817" i="8"/>
  <c r="H820" i="8"/>
  <c r="I821" i="8"/>
  <c r="J821" i="8"/>
  <c r="I822" i="8"/>
  <c r="J822" i="8"/>
  <c r="I823" i="8"/>
  <c r="J823" i="8"/>
  <c r="I824" i="8"/>
  <c r="J824" i="8"/>
  <c r="I825" i="8"/>
  <c r="J825" i="8"/>
  <c r="I826" i="8"/>
  <c r="J826" i="8"/>
  <c r="I827" i="8"/>
  <c r="J827" i="8"/>
  <c r="I828" i="8"/>
  <c r="J828" i="8"/>
  <c r="L22" i="7"/>
  <c r="M22" i="7"/>
  <c r="P22" i="7" s="1"/>
  <c r="N22" i="7"/>
  <c r="L25" i="7"/>
  <c r="O25" i="7" s="1"/>
  <c r="M25" i="7"/>
  <c r="M15" i="7" s="1"/>
  <c r="N25" i="7"/>
  <c r="L32" i="7"/>
  <c r="M32" i="7"/>
  <c r="N32" i="7"/>
  <c r="O32" i="7"/>
  <c r="L35" i="7"/>
  <c r="M35" i="7"/>
  <c r="P35" i="7" s="1"/>
  <c r="N35" i="7"/>
  <c r="N15" i="7" s="1"/>
  <c r="M36" i="7"/>
  <c r="N36" i="7"/>
  <c r="L42" i="7"/>
  <c r="M42" i="7"/>
  <c r="P42" i="7" s="1"/>
  <c r="N42" i="7"/>
  <c r="O45" i="7"/>
  <c r="P45" i="7"/>
  <c r="L46" i="7"/>
  <c r="L44" i="7" s="1"/>
  <c r="M46" i="7"/>
  <c r="M44" i="7" s="1"/>
  <c r="N46" i="7"/>
  <c r="O48" i="7"/>
  <c r="P48" i="7"/>
  <c r="L49" i="7"/>
  <c r="M49" i="7"/>
  <c r="M47" i="7" s="1"/>
  <c r="P47" i="7" s="1"/>
  <c r="N49" i="7"/>
  <c r="N47" i="7" s="1"/>
  <c r="L54" i="7"/>
  <c r="O54" i="7" s="1"/>
  <c r="M54" i="7"/>
  <c r="N54" i="7"/>
  <c r="O57" i="7"/>
  <c r="P57" i="7"/>
  <c r="L58" i="7"/>
  <c r="L56" i="7" s="1"/>
  <c r="M58" i="7"/>
  <c r="M56" i="7" s="1"/>
  <c r="N58" i="7"/>
  <c r="O60" i="7"/>
  <c r="P60" i="7"/>
  <c r="L61" i="7"/>
  <c r="O61" i="7" s="1"/>
  <c r="M61" i="7"/>
  <c r="M59" i="7" s="1"/>
  <c r="P59" i="7" s="1"/>
  <c r="N61" i="7"/>
  <c r="N59" i="7" s="1"/>
  <c r="J64" i="7"/>
  <c r="L67" i="7"/>
  <c r="M67" i="7"/>
  <c r="P67" i="7" s="1"/>
  <c r="N67" i="7"/>
  <c r="O70" i="7"/>
  <c r="P70" i="7"/>
  <c r="L71" i="7"/>
  <c r="M71" i="7"/>
  <c r="M69" i="7" s="1"/>
  <c r="P69" i="7" s="1"/>
  <c r="N71" i="7"/>
  <c r="N69" i="7" s="1"/>
  <c r="O73" i="7"/>
  <c r="P73" i="7"/>
  <c r="L74" i="7"/>
  <c r="L72" i="7" s="1"/>
  <c r="O72" i="7" s="1"/>
  <c r="M74" i="7"/>
  <c r="M72" i="7" s="1"/>
  <c r="P72" i="7" s="1"/>
  <c r="N74" i="7"/>
  <c r="N72" i="7" s="1"/>
  <c r="J76" i="7"/>
  <c r="J77" i="7"/>
  <c r="J65" i="7" s="1"/>
  <c r="I78" i="7"/>
  <c r="K78" i="7" s="1"/>
  <c r="I79" i="7"/>
  <c r="I80" i="7"/>
  <c r="I81" i="7"/>
  <c r="K81" i="7" s="1"/>
  <c r="I82" i="7"/>
  <c r="K82" i="7" s="1"/>
  <c r="I83" i="7"/>
  <c r="K83" i="7" s="1"/>
  <c r="I84" i="7"/>
  <c r="K84" i="7" s="1"/>
  <c r="J87" i="7"/>
  <c r="L89" i="7"/>
  <c r="O89" i="7" s="1"/>
  <c r="M89" i="7"/>
  <c r="N89" i="7"/>
  <c r="O92" i="7"/>
  <c r="P92" i="7"/>
  <c r="L93" i="7"/>
  <c r="M93" i="7"/>
  <c r="M91" i="7" s="1"/>
  <c r="N93" i="7"/>
  <c r="N91" i="7" s="1"/>
  <c r="O95" i="7"/>
  <c r="P95" i="7"/>
  <c r="L96" i="7"/>
  <c r="M96" i="7"/>
  <c r="M94" i="7" s="1"/>
  <c r="P94" i="7" s="1"/>
  <c r="N96" i="7"/>
  <c r="N94" i="7" s="1"/>
  <c r="I98" i="7"/>
  <c r="I86" i="7" s="1"/>
  <c r="J98" i="7"/>
  <c r="I99" i="7"/>
  <c r="J99" i="7"/>
  <c r="I100" i="7"/>
  <c r="J100" i="7"/>
  <c r="I102" i="7"/>
  <c r="K102" i="7" s="1"/>
  <c r="I103" i="7"/>
  <c r="K103" i="7" s="1"/>
  <c r="I104" i="7"/>
  <c r="K104" i="7" s="1"/>
  <c r="I106" i="7"/>
  <c r="K106" i="7" s="1"/>
  <c r="I107" i="7"/>
  <c r="K107" i="7" s="1"/>
  <c r="I109" i="7"/>
  <c r="K109" i="7" s="1"/>
  <c r="I110" i="7"/>
  <c r="K110" i="7" s="1"/>
  <c r="I111" i="7"/>
  <c r="K111" i="7" s="1"/>
  <c r="J111" i="7"/>
  <c r="J112" i="7"/>
  <c r="I113" i="7"/>
  <c r="K113" i="7" s="1"/>
  <c r="I114" i="7"/>
  <c r="K114" i="7" s="1"/>
  <c r="I115" i="7"/>
  <c r="I116" i="7"/>
  <c r="K116" i="7" s="1"/>
  <c r="L120" i="7"/>
  <c r="M120" i="7"/>
  <c r="N120" i="7"/>
  <c r="O120" i="7"/>
  <c r="O123" i="7"/>
  <c r="P123" i="7"/>
  <c r="L124" i="7"/>
  <c r="O124" i="7" s="1"/>
  <c r="M124" i="7"/>
  <c r="N124" i="7"/>
  <c r="N122" i="7" s="1"/>
  <c r="O126" i="7"/>
  <c r="P126" i="7"/>
  <c r="L127" i="7"/>
  <c r="O127" i="7" s="1"/>
  <c r="M127" i="7"/>
  <c r="M125" i="7" s="1"/>
  <c r="P125" i="7" s="1"/>
  <c r="N127" i="7"/>
  <c r="J130" i="7"/>
  <c r="L133" i="7"/>
  <c r="M133" i="7"/>
  <c r="P133" i="7" s="1"/>
  <c r="N133" i="7"/>
  <c r="O136" i="7"/>
  <c r="P136" i="7"/>
  <c r="L137" i="7"/>
  <c r="O137" i="7" s="1"/>
  <c r="M137" i="7"/>
  <c r="M135" i="7" s="1"/>
  <c r="P135" i="7" s="1"/>
  <c r="N137" i="7"/>
  <c r="N135" i="7" s="1"/>
  <c r="O139" i="7"/>
  <c r="P139" i="7"/>
  <c r="L140" i="7"/>
  <c r="O140" i="7" s="1"/>
  <c r="M140" i="7"/>
  <c r="M138" i="7" s="1"/>
  <c r="P138" i="7" s="1"/>
  <c r="N140" i="7"/>
  <c r="N138" i="7" s="1"/>
  <c r="I144" i="7"/>
  <c r="I145" i="7"/>
  <c r="I143" i="7" s="1"/>
  <c r="K143" i="7" s="1"/>
  <c r="I146" i="7"/>
  <c r="I130" i="7" s="1"/>
  <c r="K130" i="7" s="1"/>
  <c r="J148" i="7"/>
  <c r="L150" i="7"/>
  <c r="M150" i="7"/>
  <c r="N150" i="7"/>
  <c r="O150" i="7"/>
  <c r="O153" i="7"/>
  <c r="P153" i="7"/>
  <c r="L154" i="7"/>
  <c r="O154" i="7" s="1"/>
  <c r="M154" i="7"/>
  <c r="M152" i="7" s="1"/>
  <c r="P152" i="7" s="1"/>
  <c r="N154" i="7"/>
  <c r="N152" i="7" s="1"/>
  <c r="O156" i="7"/>
  <c r="P156" i="7"/>
  <c r="L157" i="7"/>
  <c r="O157" i="7" s="1"/>
  <c r="M157" i="7"/>
  <c r="M155" i="7" s="1"/>
  <c r="P155" i="7" s="1"/>
  <c r="N157" i="7"/>
  <c r="N155" i="7" s="1"/>
  <c r="I159" i="7"/>
  <c r="L166" i="7"/>
  <c r="M166" i="7"/>
  <c r="N166" i="7"/>
  <c r="O166" i="7"/>
  <c r="O169" i="7"/>
  <c r="P169" i="7"/>
  <c r="L170" i="7"/>
  <c r="M170" i="7"/>
  <c r="M168" i="7" s="1"/>
  <c r="N170" i="7"/>
  <c r="N168" i="7" s="1"/>
  <c r="O172" i="7"/>
  <c r="P172" i="7"/>
  <c r="L173" i="7"/>
  <c r="M173" i="7"/>
  <c r="N173" i="7"/>
  <c r="N171" i="7" s="1"/>
  <c r="J174" i="7"/>
  <c r="I176" i="7"/>
  <c r="K176" i="7" s="1"/>
  <c r="J177" i="7"/>
  <c r="L182" i="7"/>
  <c r="O182" i="7" s="1"/>
  <c r="M182" i="7"/>
  <c r="N182" i="7"/>
  <c r="O185" i="7"/>
  <c r="P185" i="7"/>
  <c r="L186" i="7"/>
  <c r="M186" i="7"/>
  <c r="M184" i="7" s="1"/>
  <c r="N186" i="7"/>
  <c r="N184" i="7" s="1"/>
  <c r="O188" i="7"/>
  <c r="P188" i="7"/>
  <c r="L189" i="7"/>
  <c r="M189" i="7"/>
  <c r="M187" i="7" s="1"/>
  <c r="P187" i="7" s="1"/>
  <c r="N189" i="7"/>
  <c r="N187" i="7" s="1"/>
  <c r="J190" i="7"/>
  <c r="L191" i="7"/>
  <c r="O191" i="7" s="1"/>
  <c r="P191" i="7"/>
  <c r="I193" i="7"/>
  <c r="I190" i="7" s="1"/>
  <c r="J194" i="7"/>
  <c r="J197" i="7"/>
  <c r="N198" i="7"/>
  <c r="P198" i="7"/>
  <c r="L199" i="7"/>
  <c r="L200" i="7"/>
  <c r="L201" i="7"/>
  <c r="L202" i="7"/>
  <c r="I204" i="7"/>
  <c r="K204" i="7" s="1"/>
  <c r="K206" i="7"/>
  <c r="K207" i="7"/>
  <c r="J208" i="7"/>
  <c r="N209" i="7"/>
  <c r="P209" i="7"/>
  <c r="L210" i="7"/>
  <c r="L211" i="7"/>
  <c r="L212" i="7"/>
  <c r="I214" i="7"/>
  <c r="K214" i="7" s="1"/>
  <c r="I215" i="7"/>
  <c r="I208" i="7" s="1"/>
  <c r="K208" i="7" s="1"/>
  <c r="J216" i="7"/>
  <c r="N217" i="7"/>
  <c r="P217" i="7"/>
  <c r="L218" i="7"/>
  <c r="L219" i="7"/>
  <c r="L220" i="7"/>
  <c r="I223" i="7"/>
  <c r="K223" i="7" s="1"/>
  <c r="I224" i="7"/>
  <c r="I216" i="7" s="1"/>
  <c r="I225" i="7"/>
  <c r="K225" i="7" s="1"/>
  <c r="N228" i="7"/>
  <c r="N229" i="7"/>
  <c r="N230" i="7"/>
  <c r="N231" i="7"/>
  <c r="J233" i="7"/>
  <c r="I235" i="7"/>
  <c r="K235" i="7" s="1"/>
  <c r="J235" i="7"/>
  <c r="I236" i="7"/>
  <c r="J236" i="7"/>
  <c r="K236" i="7"/>
  <c r="J237" i="7"/>
  <c r="J226" i="7" s="1"/>
  <c r="J180" i="7" s="1"/>
  <c r="N238" i="7"/>
  <c r="P238" i="7"/>
  <c r="L239" i="7"/>
  <c r="L240" i="7"/>
  <c r="L241" i="7"/>
  <c r="L242" i="7"/>
  <c r="I244" i="7"/>
  <c r="I237" i="7" s="1"/>
  <c r="K246" i="7"/>
  <c r="K247" i="7"/>
  <c r="J248" i="7"/>
  <c r="N249" i="7"/>
  <c r="N227" i="7" s="1"/>
  <c r="P249" i="7"/>
  <c r="L250" i="7"/>
  <c r="L251" i="7"/>
  <c r="L252" i="7"/>
  <c r="L253" i="7"/>
  <c r="I255" i="7"/>
  <c r="I248" i="7" s="1"/>
  <c r="K248" i="7" s="1"/>
  <c r="K257" i="7"/>
  <c r="K258" i="7"/>
  <c r="J260" i="7"/>
  <c r="L262" i="7"/>
  <c r="O262" i="7" s="1"/>
  <c r="M262" i="7"/>
  <c r="N262" i="7"/>
  <c r="O265" i="7"/>
  <c r="P265" i="7"/>
  <c r="L266" i="7"/>
  <c r="L264" i="7" s="1"/>
  <c r="M266" i="7"/>
  <c r="N266" i="7"/>
  <c r="N264" i="7" s="1"/>
  <c r="O268" i="7"/>
  <c r="P268" i="7"/>
  <c r="L269" i="7"/>
  <c r="L267" i="7" s="1"/>
  <c r="O267" i="7" s="1"/>
  <c r="M269" i="7"/>
  <c r="M267" i="7" s="1"/>
  <c r="P267" i="7" s="1"/>
  <c r="N269" i="7"/>
  <c r="N267" i="7" s="1"/>
  <c r="I271" i="7"/>
  <c r="J276" i="7"/>
  <c r="L278" i="7"/>
  <c r="M278" i="7"/>
  <c r="P278" i="7" s="1"/>
  <c r="N278" i="7"/>
  <c r="O281" i="7"/>
  <c r="P281" i="7"/>
  <c r="L282" i="7"/>
  <c r="L280" i="7" s="1"/>
  <c r="O280" i="7" s="1"/>
  <c r="M282" i="7"/>
  <c r="M280" i="7" s="1"/>
  <c r="P280" i="7" s="1"/>
  <c r="N282" i="7"/>
  <c r="O284" i="7"/>
  <c r="P284" i="7"/>
  <c r="L285" i="7"/>
  <c r="L283" i="7" s="1"/>
  <c r="O283" i="7" s="1"/>
  <c r="M285" i="7"/>
  <c r="P285" i="7" s="1"/>
  <c r="N285" i="7"/>
  <c r="N283" i="7" s="1"/>
  <c r="I287" i="7"/>
  <c r="I276" i="7" s="1"/>
  <c r="K276" i="7" s="1"/>
  <c r="I288" i="7"/>
  <c r="I275" i="7" s="1"/>
  <c r="K275" i="7" s="1"/>
  <c r="I290" i="7"/>
  <c r="K290" i="7" s="1"/>
  <c r="I291" i="7"/>
  <c r="K291" i="7" s="1"/>
  <c r="I293" i="7"/>
  <c r="K293" i="7" s="1"/>
  <c r="I294" i="7"/>
  <c r="K294" i="7" s="1"/>
  <c r="J297" i="7"/>
  <c r="L299" i="7"/>
  <c r="O299" i="7" s="1"/>
  <c r="M299" i="7"/>
  <c r="N299" i="7"/>
  <c r="O302" i="7"/>
  <c r="P302" i="7"/>
  <c r="L303" i="7"/>
  <c r="M303" i="7"/>
  <c r="P303" i="7" s="1"/>
  <c r="N303" i="7"/>
  <c r="N301" i="7" s="1"/>
  <c r="O305" i="7"/>
  <c r="P305" i="7"/>
  <c r="L306" i="7"/>
  <c r="L304" i="7" s="1"/>
  <c r="O304" i="7" s="1"/>
  <c r="M306" i="7"/>
  <c r="P306" i="7" s="1"/>
  <c r="N306" i="7"/>
  <c r="N304" i="7" s="1"/>
  <c r="I309" i="7"/>
  <c r="I297" i="7" s="1"/>
  <c r="K297" i="7" s="1"/>
  <c r="I310" i="7"/>
  <c r="K310" i="7" s="1"/>
  <c r="I311" i="7"/>
  <c r="K311" i="7" s="1"/>
  <c r="I312" i="7"/>
  <c r="K312" i="7" s="1"/>
  <c r="J314" i="7"/>
  <c r="L316" i="7"/>
  <c r="M316" i="7"/>
  <c r="N316" i="7"/>
  <c r="P316" i="7"/>
  <c r="O319" i="7"/>
  <c r="P319" i="7"/>
  <c r="L320" i="7"/>
  <c r="M320" i="7"/>
  <c r="M318" i="7" s="1"/>
  <c r="P318" i="7" s="1"/>
  <c r="N320" i="7"/>
  <c r="N318" i="7" s="1"/>
  <c r="O322" i="7"/>
  <c r="P322" i="7"/>
  <c r="L323" i="7"/>
  <c r="M323" i="7"/>
  <c r="P323" i="7" s="1"/>
  <c r="N323" i="7"/>
  <c r="N321" i="7" s="1"/>
  <c r="I325" i="7"/>
  <c r="I314" i="7" s="1"/>
  <c r="K314" i="7" s="1"/>
  <c r="I327" i="7"/>
  <c r="L329" i="7"/>
  <c r="M329" i="7"/>
  <c r="N329" i="7"/>
  <c r="O329" i="7"/>
  <c r="P329" i="7"/>
  <c r="O332" i="7"/>
  <c r="P332" i="7"/>
  <c r="L333" i="7"/>
  <c r="M333" i="7"/>
  <c r="M331" i="7" s="1"/>
  <c r="N333" i="7"/>
  <c r="N331" i="7" s="1"/>
  <c r="O335" i="7"/>
  <c r="P335" i="7"/>
  <c r="L336" i="7"/>
  <c r="M336" i="7"/>
  <c r="M334" i="7" s="1"/>
  <c r="P334" i="7" s="1"/>
  <c r="N336" i="7"/>
  <c r="N334" i="7" s="1"/>
  <c r="D337" i="7"/>
  <c r="I338" i="7"/>
  <c r="J338" i="7"/>
  <c r="I340" i="7"/>
  <c r="J340" i="7"/>
  <c r="J341" i="7"/>
  <c r="J342" i="7"/>
  <c r="J343" i="7"/>
  <c r="L346" i="7"/>
  <c r="M346" i="7"/>
  <c r="P346" i="7" s="1"/>
  <c r="N346" i="7"/>
  <c r="O346" i="7"/>
  <c r="O349" i="7"/>
  <c r="P349" i="7"/>
  <c r="L350" i="7"/>
  <c r="L348" i="7" s="1"/>
  <c r="M350" i="7"/>
  <c r="N350" i="7"/>
  <c r="O352" i="7"/>
  <c r="P352" i="7"/>
  <c r="L353" i="7"/>
  <c r="L351" i="7" s="1"/>
  <c r="M353" i="7"/>
  <c r="M351" i="7" s="1"/>
  <c r="N353" i="7"/>
  <c r="I355" i="7"/>
  <c r="J358" i="7"/>
  <c r="K358" i="7"/>
  <c r="I359" i="7"/>
  <c r="J359" i="7"/>
  <c r="I360" i="7"/>
  <c r="J360" i="7"/>
  <c r="J361" i="7"/>
  <c r="K361" i="7"/>
  <c r="I362" i="7"/>
  <c r="J362" i="7"/>
  <c r="J355" i="7" s="1"/>
  <c r="J363" i="7"/>
  <c r="K363" i="7"/>
  <c r="I365" i="7"/>
  <c r="J368" i="7"/>
  <c r="K368" i="7"/>
  <c r="I369" i="7"/>
  <c r="J369" i="7"/>
  <c r="I370" i="7"/>
  <c r="J370" i="7"/>
  <c r="J371" i="7"/>
  <c r="K371" i="7"/>
  <c r="I372" i="7"/>
  <c r="J372" i="7"/>
  <c r="J365" i="7" s="1"/>
  <c r="A373" i="7"/>
  <c r="J373" i="7"/>
  <c r="K373" i="7"/>
  <c r="I374" i="7"/>
  <c r="J377" i="7"/>
  <c r="K377" i="7"/>
  <c r="I378" i="7"/>
  <c r="J378" i="7"/>
  <c r="I379" i="7"/>
  <c r="J379" i="7"/>
  <c r="J380" i="7"/>
  <c r="K380" i="7"/>
  <c r="I381" i="7"/>
  <c r="J381" i="7"/>
  <c r="J374" i="7" s="1"/>
  <c r="A382" i="7"/>
  <c r="J382" i="7"/>
  <c r="K382" i="7"/>
  <c r="D384" i="7"/>
  <c r="I385" i="7"/>
  <c r="K385" i="7" s="1"/>
  <c r="J385" i="7"/>
  <c r="I388" i="7"/>
  <c r="J388" i="7"/>
  <c r="K388" i="7"/>
  <c r="L390" i="7"/>
  <c r="M390" i="7"/>
  <c r="P390" i="7" s="1"/>
  <c r="N390" i="7"/>
  <c r="O393" i="7"/>
  <c r="P393" i="7"/>
  <c r="L394" i="7"/>
  <c r="M394" i="7"/>
  <c r="M392" i="7" s="1"/>
  <c r="P392" i="7" s="1"/>
  <c r="N394" i="7"/>
  <c r="O396" i="7"/>
  <c r="P396" i="7"/>
  <c r="L397" i="7"/>
  <c r="M397" i="7"/>
  <c r="P397" i="7" s="1"/>
  <c r="N397" i="7"/>
  <c r="N395" i="7" s="1"/>
  <c r="K399" i="7"/>
  <c r="K400" i="7"/>
  <c r="I401" i="7"/>
  <c r="K401" i="7" s="1"/>
  <c r="J401" i="7"/>
  <c r="L403" i="7"/>
  <c r="M403" i="7"/>
  <c r="N403" i="7"/>
  <c r="O403" i="7"/>
  <c r="P403" i="7"/>
  <c r="O406" i="7"/>
  <c r="P406" i="7"/>
  <c r="L407" i="7"/>
  <c r="M407" i="7"/>
  <c r="M405" i="7" s="1"/>
  <c r="P405" i="7" s="1"/>
  <c r="N407" i="7"/>
  <c r="N405" i="7" s="1"/>
  <c r="O409" i="7"/>
  <c r="P409" i="7"/>
  <c r="L410" i="7"/>
  <c r="L408" i="7" s="1"/>
  <c r="O408" i="7" s="1"/>
  <c r="M410" i="7"/>
  <c r="M408" i="7" s="1"/>
  <c r="P408" i="7" s="1"/>
  <c r="N410" i="7"/>
  <c r="N408" i="7" s="1"/>
  <c r="K412" i="7"/>
  <c r="K413" i="7"/>
  <c r="L420" i="7"/>
  <c r="M420" i="7"/>
  <c r="P420" i="7" s="1"/>
  <c r="N420" i="7"/>
  <c r="N422" i="7"/>
  <c r="O423" i="7"/>
  <c r="P423" i="7"/>
  <c r="L424" i="7"/>
  <c r="N424" i="7"/>
  <c r="M429" i="7"/>
  <c r="P429" i="7" s="1"/>
  <c r="N429" i="7"/>
  <c r="O430" i="7"/>
  <c r="P430" i="7"/>
  <c r="L431" i="7"/>
  <c r="P431" i="7"/>
  <c r="J434" i="7"/>
  <c r="J418" i="7" s="1"/>
  <c r="I435" i="7"/>
  <c r="I433" i="7" s="1"/>
  <c r="I437" i="7"/>
  <c r="K437" i="7" s="1"/>
  <c r="I438" i="7"/>
  <c r="K438" i="7" s="1"/>
  <c r="I439" i="7"/>
  <c r="K439" i="7" s="1"/>
  <c r="I440" i="7"/>
  <c r="K440" i="7" s="1"/>
  <c r="I441" i="7"/>
  <c r="K441" i="7" s="1"/>
  <c r="J442" i="7"/>
  <c r="J443" i="7"/>
  <c r="L445" i="7"/>
  <c r="M445" i="7"/>
  <c r="N445" i="7"/>
  <c r="O445" i="7"/>
  <c r="P445" i="7"/>
  <c r="O448" i="7"/>
  <c r="P448" i="7"/>
  <c r="L449" i="7"/>
  <c r="N449" i="7"/>
  <c r="N447" i="7" s="1"/>
  <c r="M454" i="7"/>
  <c r="P454" i="7" s="1"/>
  <c r="N454" i="7"/>
  <c r="O455" i="7"/>
  <c r="P455" i="7"/>
  <c r="L456" i="7"/>
  <c r="O456" i="7" s="1"/>
  <c r="P456" i="7"/>
  <c r="K458" i="7"/>
  <c r="I460" i="7"/>
  <c r="I442" i="7" s="1"/>
  <c r="I462" i="7"/>
  <c r="K462" i="7" s="1"/>
  <c r="I463" i="7"/>
  <c r="I464" i="7"/>
  <c r="I465" i="7"/>
  <c r="J465" i="7"/>
  <c r="I466" i="7"/>
  <c r="J466" i="7"/>
  <c r="L468" i="7"/>
  <c r="O468" i="7" s="1"/>
  <c r="M468" i="7"/>
  <c r="P468" i="7" s="1"/>
  <c r="N468" i="7"/>
  <c r="O471" i="7"/>
  <c r="P471" i="7"/>
  <c r="L472" i="7"/>
  <c r="L470" i="7" s="1"/>
  <c r="O470" i="7" s="1"/>
  <c r="N472" i="7"/>
  <c r="N470" i="7" s="1"/>
  <c r="M477" i="7"/>
  <c r="N477" i="7"/>
  <c r="P477" i="7"/>
  <c r="O478" i="7"/>
  <c r="P478" i="7"/>
  <c r="L479" i="7"/>
  <c r="L477" i="7" s="1"/>
  <c r="O477" i="7" s="1"/>
  <c r="P479" i="7"/>
  <c r="I483" i="7"/>
  <c r="K483" i="7" s="1"/>
  <c r="I485" i="7"/>
  <c r="K485" i="7" s="1"/>
  <c r="I487" i="7"/>
  <c r="K487" i="7" s="1"/>
  <c r="I489" i="7"/>
  <c r="K489" i="7" s="1"/>
  <c r="I492" i="7"/>
  <c r="K492" i="7" s="1"/>
  <c r="I495" i="7"/>
  <c r="K495" i="7" s="1"/>
  <c r="I498" i="7"/>
  <c r="K498" i="7" s="1"/>
  <c r="J500" i="7"/>
  <c r="K500" i="7"/>
  <c r="K501" i="7"/>
  <c r="M502" i="7"/>
  <c r="P502" i="7" s="1"/>
  <c r="L503" i="7"/>
  <c r="O503" i="7" s="1"/>
  <c r="M503" i="7"/>
  <c r="P503" i="7" s="1"/>
  <c r="N503" i="7"/>
  <c r="L504" i="7"/>
  <c r="M504" i="7"/>
  <c r="P504" i="7" s="1"/>
  <c r="N504" i="7"/>
  <c r="O504" i="7"/>
  <c r="L505" i="7"/>
  <c r="M505" i="7"/>
  <c r="O505" i="7"/>
  <c r="P505" i="7"/>
  <c r="O506" i="7"/>
  <c r="P506" i="7"/>
  <c r="N507" i="7"/>
  <c r="N505" i="7" s="1"/>
  <c r="O507" i="7"/>
  <c r="P507" i="7"/>
  <c r="L512" i="7"/>
  <c r="O512" i="7" s="1"/>
  <c r="M512" i="7"/>
  <c r="N512" i="7"/>
  <c r="P512" i="7"/>
  <c r="O513" i="7"/>
  <c r="P513" i="7"/>
  <c r="O514" i="7"/>
  <c r="P514" i="7"/>
  <c r="K516" i="7"/>
  <c r="J517" i="7"/>
  <c r="J501" i="7" s="1"/>
  <c r="K517" i="7"/>
  <c r="M523" i="7"/>
  <c r="P523" i="7"/>
  <c r="L524" i="7"/>
  <c r="O524" i="7" s="1"/>
  <c r="M524" i="7"/>
  <c r="P524" i="7" s="1"/>
  <c r="N524" i="7"/>
  <c r="M525" i="7"/>
  <c r="P525" i="7" s="1"/>
  <c r="M526" i="7"/>
  <c r="P526" i="7" s="1"/>
  <c r="O527" i="7"/>
  <c r="P527" i="7"/>
  <c r="L528" i="7"/>
  <c r="O528" i="7" s="1"/>
  <c r="N528" i="7"/>
  <c r="N526" i="7" s="1"/>
  <c r="P528" i="7"/>
  <c r="M533" i="7"/>
  <c r="P533" i="7" s="1"/>
  <c r="N533" i="7"/>
  <c r="O534" i="7"/>
  <c r="P534" i="7"/>
  <c r="L535" i="7"/>
  <c r="O535" i="7" s="1"/>
  <c r="P535" i="7"/>
  <c r="I537" i="7"/>
  <c r="I522" i="7" s="1"/>
  <c r="K522" i="7" s="1"/>
  <c r="I538" i="7"/>
  <c r="K538" i="7" s="1"/>
  <c r="I539" i="7"/>
  <c r="K539" i="7" s="1"/>
  <c r="I540" i="7"/>
  <c r="I541" i="7"/>
  <c r="K541" i="7" s="1"/>
  <c r="I542" i="7"/>
  <c r="K542" i="7" s="1"/>
  <c r="L545" i="7"/>
  <c r="O545" i="7" s="1"/>
  <c r="M545" i="7"/>
  <c r="O548" i="7"/>
  <c r="P548" i="7"/>
  <c r="L549" i="7"/>
  <c r="N553" i="7"/>
  <c r="N549" i="7" s="1"/>
  <c r="M555" i="7"/>
  <c r="N555" i="7"/>
  <c r="N545" i="7" s="1"/>
  <c r="P555" i="7"/>
  <c r="O556" i="7"/>
  <c r="P556" i="7"/>
  <c r="L557" i="7"/>
  <c r="O557" i="7" s="1"/>
  <c r="P557" i="7"/>
  <c r="I560" i="7"/>
  <c r="J560" i="7"/>
  <c r="I561" i="7"/>
  <c r="J561" i="7"/>
  <c r="I568" i="7"/>
  <c r="J568" i="7"/>
  <c r="I569" i="7"/>
  <c r="K569" i="7" s="1"/>
  <c r="J569" i="7"/>
  <c r="I576" i="7"/>
  <c r="I559" i="7" s="1"/>
  <c r="I543" i="7" s="1"/>
  <c r="J576" i="7"/>
  <c r="I577" i="7"/>
  <c r="K577" i="7" s="1"/>
  <c r="J582" i="7"/>
  <c r="J583" i="7"/>
  <c r="J577" i="7" s="1"/>
  <c r="I593" i="7"/>
  <c r="I592" i="7" s="1"/>
  <c r="I594" i="7"/>
  <c r="J595" i="7"/>
  <c r="J593" i="7" s="1"/>
  <c r="J596" i="7"/>
  <c r="J603" i="7"/>
  <c r="J604" i="7"/>
  <c r="J594" i="7" s="1"/>
  <c r="J611" i="7"/>
  <c r="K611" i="7"/>
  <c r="J612" i="7"/>
  <c r="K612" i="7"/>
  <c r="J613" i="7"/>
  <c r="K613" i="7"/>
  <c r="I620" i="7"/>
  <c r="K620" i="7" s="1"/>
  <c r="J620" i="7"/>
  <c r="I621" i="7"/>
  <c r="K621" i="7" s="1"/>
  <c r="J621" i="7"/>
  <c r="L630" i="7"/>
  <c r="O630" i="7" s="1"/>
  <c r="M630" i="7"/>
  <c r="P630" i="7" s="1"/>
  <c r="N630" i="7"/>
  <c r="M631" i="7"/>
  <c r="P631" i="7"/>
  <c r="M632" i="7"/>
  <c r="P632" i="7" s="1"/>
  <c r="O633" i="7"/>
  <c r="P633" i="7"/>
  <c r="L634" i="7"/>
  <c r="L632" i="7" s="1"/>
  <c r="O632" i="7" s="1"/>
  <c r="N634" i="7"/>
  <c r="N632" i="7" s="1"/>
  <c r="P634" i="7"/>
  <c r="M639" i="7"/>
  <c r="P639" i="7" s="1"/>
  <c r="N639" i="7"/>
  <c r="O640" i="7"/>
  <c r="P640" i="7"/>
  <c r="L641" i="7"/>
  <c r="L639" i="7" s="1"/>
  <c r="O639" i="7" s="1"/>
  <c r="P641" i="7"/>
  <c r="I643" i="7"/>
  <c r="K643" i="7" s="1"/>
  <c r="I644" i="7"/>
  <c r="K644" i="7" s="1"/>
  <c r="J645" i="7"/>
  <c r="K645" i="7"/>
  <c r="J646" i="7"/>
  <c r="K646" i="7"/>
  <c r="I647" i="7"/>
  <c r="K647" i="7" s="1"/>
  <c r="J647" i="7"/>
  <c r="J648" i="7"/>
  <c r="K648" i="7"/>
  <c r="I649" i="7"/>
  <c r="K649" i="7" s="1"/>
  <c r="J649" i="7"/>
  <c r="J650" i="7"/>
  <c r="K650" i="7"/>
  <c r="I651" i="7"/>
  <c r="K651" i="7" s="1"/>
  <c r="J651" i="7"/>
  <c r="J628" i="7" s="1"/>
  <c r="J652" i="7"/>
  <c r="K652" i="7"/>
  <c r="L656" i="7"/>
  <c r="M656" i="7"/>
  <c r="N656" i="7"/>
  <c r="O659" i="7"/>
  <c r="P659" i="7"/>
  <c r="L660" i="7"/>
  <c r="L657" i="7" s="1"/>
  <c r="N660" i="7"/>
  <c r="N657" i="7" s="1"/>
  <c r="N655" i="7" s="1"/>
  <c r="L665" i="7"/>
  <c r="M665" i="7"/>
  <c r="P665" i="7" s="1"/>
  <c r="N665" i="7"/>
  <c r="O665" i="7"/>
  <c r="O666" i="7"/>
  <c r="P666" i="7"/>
  <c r="O667" i="7"/>
  <c r="P667" i="7"/>
  <c r="I669" i="7"/>
  <c r="K672" i="7" s="1"/>
  <c r="J669" i="7"/>
  <c r="J654" i="7" s="1"/>
  <c r="I670" i="7"/>
  <c r="K670" i="7" s="1"/>
  <c r="I671" i="7"/>
  <c r="K671" i="7" s="1"/>
  <c r="J675" i="7"/>
  <c r="I678" i="7"/>
  <c r="K678" i="7" s="1"/>
  <c r="J679" i="7"/>
  <c r="J678" i="7" s="1"/>
  <c r="L686" i="7"/>
  <c r="O686" i="7" s="1"/>
  <c r="M686" i="7"/>
  <c r="N686" i="7"/>
  <c r="P686" i="7"/>
  <c r="L690" i="7"/>
  <c r="L688" i="7" s="1"/>
  <c r="N690" i="7"/>
  <c r="N688" i="7" s="1"/>
  <c r="L695" i="7"/>
  <c r="O695" i="7" s="1"/>
  <c r="M695" i="7"/>
  <c r="P695" i="7" s="1"/>
  <c r="N695" i="7"/>
  <c r="O696" i="7"/>
  <c r="P696" i="7"/>
  <c r="O697" i="7"/>
  <c r="P697" i="7"/>
  <c r="I699" i="7"/>
  <c r="K699" i="7" s="1"/>
  <c r="J699" i="7"/>
  <c r="I700" i="7"/>
  <c r="J700" i="7"/>
  <c r="I701" i="7"/>
  <c r="K701" i="7" s="1"/>
  <c r="J701" i="7"/>
  <c r="I704" i="7"/>
  <c r="I707" i="7"/>
  <c r="I708" i="7"/>
  <c r="K708" i="7" s="1"/>
  <c r="J708" i="7"/>
  <c r="J718" i="7"/>
  <c r="J719" i="7"/>
  <c r="I720" i="7"/>
  <c r="K720" i="7" s="1"/>
  <c r="J720" i="7"/>
  <c r="I721" i="7"/>
  <c r="I722" i="7"/>
  <c r="I723" i="7"/>
  <c r="J723" i="7"/>
  <c r="J724" i="7"/>
  <c r="I725" i="7"/>
  <c r="J725" i="7"/>
  <c r="I726" i="7"/>
  <c r="J726" i="7"/>
  <c r="J727" i="7"/>
  <c r="I728" i="7"/>
  <c r="J728" i="7"/>
  <c r="I729" i="7"/>
  <c r="K729" i="7" s="1"/>
  <c r="J729" i="7"/>
  <c r="J736" i="7"/>
  <c r="K736" i="7"/>
  <c r="M737" i="7"/>
  <c r="P737" i="7" s="1"/>
  <c r="L738" i="7"/>
  <c r="O738" i="7" s="1"/>
  <c r="M738" i="7"/>
  <c r="N738" i="7"/>
  <c r="P738" i="7"/>
  <c r="L739" i="7"/>
  <c r="O739" i="7" s="1"/>
  <c r="M739" i="7"/>
  <c r="P739" i="7"/>
  <c r="L740" i="7"/>
  <c r="O740" i="7" s="1"/>
  <c r="M740" i="7"/>
  <c r="P740" i="7"/>
  <c r="O741" i="7"/>
  <c r="P741" i="7"/>
  <c r="N742" i="7"/>
  <c r="N740" i="7" s="1"/>
  <c r="O742" i="7"/>
  <c r="P742" i="7"/>
  <c r="L747" i="7"/>
  <c r="O747" i="7" s="1"/>
  <c r="M747" i="7"/>
  <c r="P747" i="7" s="1"/>
  <c r="N747" i="7"/>
  <c r="O748" i="7"/>
  <c r="P748" i="7"/>
  <c r="O749" i="7"/>
  <c r="P749" i="7"/>
  <c r="J753" i="7"/>
  <c r="K753" i="7"/>
  <c r="L755" i="7"/>
  <c r="M755" i="7"/>
  <c r="P755" i="7" s="1"/>
  <c r="N755" i="7"/>
  <c r="O755" i="7"/>
  <c r="L756" i="7"/>
  <c r="M756" i="7"/>
  <c r="O756" i="7"/>
  <c r="P756" i="7"/>
  <c r="L757" i="7"/>
  <c r="O757" i="7" s="1"/>
  <c r="M757" i="7"/>
  <c r="P757" i="7" s="1"/>
  <c r="O758" i="7"/>
  <c r="P758" i="7"/>
  <c r="N759" i="7"/>
  <c r="N757" i="7" s="1"/>
  <c r="O759" i="7"/>
  <c r="P759" i="7"/>
  <c r="L764" i="7"/>
  <c r="O764" i="7" s="1"/>
  <c r="M764" i="7"/>
  <c r="P764" i="7" s="1"/>
  <c r="N764" i="7"/>
  <c r="O765" i="7"/>
  <c r="P765" i="7"/>
  <c r="O766" i="7"/>
  <c r="P766" i="7"/>
  <c r="J769" i="7"/>
  <c r="K769" i="7"/>
  <c r="M770" i="7"/>
  <c r="P770" i="7" s="1"/>
  <c r="L771" i="7"/>
  <c r="O771" i="7" s="1"/>
  <c r="M771" i="7"/>
  <c r="N771" i="7"/>
  <c r="P771" i="7"/>
  <c r="L772" i="7"/>
  <c r="O772" i="7" s="1"/>
  <c r="M772" i="7"/>
  <c r="P772" i="7"/>
  <c r="L773" i="7"/>
  <c r="O773" i="7" s="1"/>
  <c r="M773" i="7"/>
  <c r="P773" i="7"/>
  <c r="O774" i="7"/>
  <c r="P774" i="7"/>
  <c r="N775" i="7"/>
  <c r="N773" i="7" s="1"/>
  <c r="O775" i="7"/>
  <c r="P775" i="7"/>
  <c r="L780" i="7"/>
  <c r="O780" i="7" s="1"/>
  <c r="M780" i="7"/>
  <c r="P780" i="7" s="1"/>
  <c r="N780" i="7"/>
  <c r="O781" i="7"/>
  <c r="P781" i="7"/>
  <c r="O782" i="7"/>
  <c r="P782" i="7"/>
  <c r="L787" i="7"/>
  <c r="M787" i="7"/>
  <c r="N787" i="7"/>
  <c r="O787" i="7"/>
  <c r="M788" i="7"/>
  <c r="P788" i="7" s="1"/>
  <c r="M789" i="7"/>
  <c r="P789" i="7"/>
  <c r="O790" i="7"/>
  <c r="P790" i="7"/>
  <c r="L791" i="7"/>
  <c r="L788" i="7" s="1"/>
  <c r="N791" i="7"/>
  <c r="N789" i="7" s="1"/>
  <c r="P791" i="7"/>
  <c r="L796" i="7"/>
  <c r="O796" i="7" s="1"/>
  <c r="M796" i="7"/>
  <c r="P796" i="7" s="1"/>
  <c r="N796" i="7"/>
  <c r="O797" i="7"/>
  <c r="P797" i="7"/>
  <c r="O798" i="7"/>
  <c r="P798" i="7"/>
  <c r="I800" i="7"/>
  <c r="I785" i="7" s="1"/>
  <c r="K785" i="7" s="1"/>
  <c r="J800" i="7"/>
  <c r="J785" i="7" s="1"/>
  <c r="J801" i="7"/>
  <c r="K802" i="7"/>
  <c r="J804" i="7"/>
  <c r="K804" i="7"/>
  <c r="L806" i="7"/>
  <c r="O806" i="7" s="1"/>
  <c r="M806" i="7"/>
  <c r="M805" i="7" s="1"/>
  <c r="P805" i="7" s="1"/>
  <c r="N806" i="7"/>
  <c r="L807" i="7"/>
  <c r="M807" i="7"/>
  <c r="P807" i="7" s="1"/>
  <c r="N807" i="7"/>
  <c r="O807" i="7"/>
  <c r="L808" i="7"/>
  <c r="O808" i="7" s="1"/>
  <c r="M808" i="7"/>
  <c r="P808" i="7"/>
  <c r="O809" i="7"/>
  <c r="P809" i="7"/>
  <c r="N810" i="7"/>
  <c r="N808" i="7" s="1"/>
  <c r="O810" i="7"/>
  <c r="P810" i="7"/>
  <c r="L815" i="7"/>
  <c r="O815" i="7" s="1"/>
  <c r="M815" i="7"/>
  <c r="P815" i="7" s="1"/>
  <c r="N815" i="7"/>
  <c r="O816" i="7"/>
  <c r="P816" i="7"/>
  <c r="O817" i="7"/>
  <c r="P817" i="7"/>
  <c r="H820" i="7"/>
  <c r="I821" i="7"/>
  <c r="J821" i="7"/>
  <c r="I822" i="7"/>
  <c r="J822" i="7"/>
  <c r="I823" i="7"/>
  <c r="J823" i="7"/>
  <c r="I824" i="7"/>
  <c r="J824" i="7"/>
  <c r="I825" i="7"/>
  <c r="J825" i="7"/>
  <c r="I826" i="7"/>
  <c r="J826" i="7"/>
  <c r="I827" i="7"/>
  <c r="J827" i="7"/>
  <c r="I828" i="7"/>
  <c r="J828" i="7"/>
  <c r="L15" i="6"/>
  <c r="L22" i="6"/>
  <c r="M22" i="6"/>
  <c r="M12" i="6" s="1"/>
  <c r="N22" i="6"/>
  <c r="L25" i="6"/>
  <c r="M25" i="6"/>
  <c r="N25" i="6"/>
  <c r="N15" i="6" s="1"/>
  <c r="O25" i="6"/>
  <c r="P25" i="6"/>
  <c r="L32" i="6"/>
  <c r="M32" i="6"/>
  <c r="N32" i="6"/>
  <c r="N29" i="6" s="1"/>
  <c r="O32" i="6"/>
  <c r="P32" i="6"/>
  <c r="L35" i="6"/>
  <c r="L29" i="6" s="1"/>
  <c r="M35" i="6"/>
  <c r="M15" i="6" s="1"/>
  <c r="N35" i="6"/>
  <c r="N34" i="6" s="1"/>
  <c r="M36" i="6"/>
  <c r="N36" i="6"/>
  <c r="L42" i="6"/>
  <c r="M42" i="6"/>
  <c r="N42" i="6"/>
  <c r="O42" i="6"/>
  <c r="P42" i="6"/>
  <c r="O45" i="6"/>
  <c r="P45" i="6"/>
  <c r="L46" i="6"/>
  <c r="M46" i="6"/>
  <c r="M44" i="6" s="1"/>
  <c r="N46" i="6"/>
  <c r="O48" i="6"/>
  <c r="P48" i="6"/>
  <c r="L49" i="6"/>
  <c r="L47" i="6" s="1"/>
  <c r="O47" i="6" s="1"/>
  <c r="M49" i="6"/>
  <c r="N49" i="6"/>
  <c r="N47" i="6" s="1"/>
  <c r="L54" i="6"/>
  <c r="O54" i="6" s="1"/>
  <c r="M54" i="6"/>
  <c r="N54" i="6"/>
  <c r="O57" i="6"/>
  <c r="P57" i="6"/>
  <c r="L58" i="6"/>
  <c r="L56" i="6" s="1"/>
  <c r="M58" i="6"/>
  <c r="N58" i="6"/>
  <c r="O60" i="6"/>
  <c r="P60" i="6"/>
  <c r="L61" i="6"/>
  <c r="O61" i="6" s="1"/>
  <c r="M61" i="6"/>
  <c r="P61" i="6" s="1"/>
  <c r="N61" i="6"/>
  <c r="N59" i="6" s="1"/>
  <c r="J65" i="6"/>
  <c r="L67" i="6"/>
  <c r="M67" i="6"/>
  <c r="N67" i="6"/>
  <c r="O67" i="6"/>
  <c r="P67" i="6"/>
  <c r="O70" i="6"/>
  <c r="P70" i="6"/>
  <c r="L71" i="6"/>
  <c r="M71" i="6"/>
  <c r="M69" i="6" s="1"/>
  <c r="P69" i="6" s="1"/>
  <c r="N71" i="6"/>
  <c r="N69" i="6" s="1"/>
  <c r="O73" i="6"/>
  <c r="P73" i="6"/>
  <c r="L74" i="6"/>
  <c r="O74" i="6" s="1"/>
  <c r="M74" i="6"/>
  <c r="M72" i="6" s="1"/>
  <c r="P72" i="6" s="1"/>
  <c r="N74" i="6"/>
  <c r="N72" i="6" s="1"/>
  <c r="J76" i="6"/>
  <c r="J64" i="6" s="1"/>
  <c r="J77" i="6"/>
  <c r="I78" i="6"/>
  <c r="I79" i="6"/>
  <c r="K79" i="6" s="1"/>
  <c r="I80" i="6"/>
  <c r="K80" i="6" s="1"/>
  <c r="I81" i="6"/>
  <c r="K81" i="6" s="1"/>
  <c r="I82" i="6"/>
  <c r="K82" i="6" s="1"/>
  <c r="I83" i="6"/>
  <c r="K83" i="6" s="1"/>
  <c r="I84" i="6"/>
  <c r="K84" i="6" s="1"/>
  <c r="J87" i="6"/>
  <c r="L89" i="6"/>
  <c r="O89" i="6" s="1"/>
  <c r="M89" i="6"/>
  <c r="N89" i="6"/>
  <c r="P89" i="6"/>
  <c r="O92" i="6"/>
  <c r="P92" i="6"/>
  <c r="L93" i="6"/>
  <c r="M93" i="6"/>
  <c r="M91" i="6" s="1"/>
  <c r="N93" i="6"/>
  <c r="N91" i="6" s="1"/>
  <c r="O95" i="6"/>
  <c r="P95" i="6"/>
  <c r="L96" i="6"/>
  <c r="M96" i="6"/>
  <c r="P96" i="6" s="1"/>
  <c r="N96" i="6"/>
  <c r="N94" i="6" s="1"/>
  <c r="I98" i="6"/>
  <c r="J98" i="6"/>
  <c r="J86" i="6" s="1"/>
  <c r="I99" i="6"/>
  <c r="K99" i="6" s="1"/>
  <c r="J99" i="6"/>
  <c r="I100" i="6"/>
  <c r="K100" i="6" s="1"/>
  <c r="J100" i="6"/>
  <c r="I102" i="6"/>
  <c r="K102" i="6" s="1"/>
  <c r="I103" i="6"/>
  <c r="K103" i="6" s="1"/>
  <c r="I104" i="6"/>
  <c r="K104" i="6" s="1"/>
  <c r="I106" i="6"/>
  <c r="K106" i="6" s="1"/>
  <c r="I107" i="6"/>
  <c r="K107" i="6" s="1"/>
  <c r="I109" i="6"/>
  <c r="K109" i="6" s="1"/>
  <c r="I110" i="6"/>
  <c r="K110" i="6" s="1"/>
  <c r="I111" i="6"/>
  <c r="K111" i="6" s="1"/>
  <c r="J111" i="6"/>
  <c r="J112" i="6"/>
  <c r="I113" i="6"/>
  <c r="K113" i="6" s="1"/>
  <c r="I114" i="6"/>
  <c r="K114" i="6" s="1"/>
  <c r="I115" i="6"/>
  <c r="I116" i="6"/>
  <c r="K116" i="6" s="1"/>
  <c r="L120" i="6"/>
  <c r="O120" i="6" s="1"/>
  <c r="M120" i="6"/>
  <c r="N120" i="6"/>
  <c r="O123" i="6"/>
  <c r="P123" i="6"/>
  <c r="L124" i="6"/>
  <c r="M124" i="6"/>
  <c r="P124" i="6" s="1"/>
  <c r="N124" i="6"/>
  <c r="N122" i="6" s="1"/>
  <c r="O126" i="6"/>
  <c r="P126" i="6"/>
  <c r="L127" i="6"/>
  <c r="M127" i="6"/>
  <c r="P127" i="6" s="1"/>
  <c r="N127" i="6"/>
  <c r="N125" i="6" s="1"/>
  <c r="J130" i="6"/>
  <c r="L133" i="6"/>
  <c r="M133" i="6"/>
  <c r="N133" i="6"/>
  <c r="O133" i="6"/>
  <c r="P133" i="6"/>
  <c r="O136" i="6"/>
  <c r="P136" i="6"/>
  <c r="L137" i="6"/>
  <c r="L135" i="6" s="1"/>
  <c r="O135" i="6" s="1"/>
  <c r="M137" i="6"/>
  <c r="M135" i="6" s="1"/>
  <c r="P135" i="6" s="1"/>
  <c r="N137" i="6"/>
  <c r="N135" i="6" s="1"/>
  <c r="O139" i="6"/>
  <c r="P139" i="6"/>
  <c r="L140" i="6"/>
  <c r="O140" i="6" s="1"/>
  <c r="M140" i="6"/>
  <c r="M138" i="6" s="1"/>
  <c r="P138" i="6" s="1"/>
  <c r="N140" i="6"/>
  <c r="N138" i="6" s="1"/>
  <c r="I144" i="6"/>
  <c r="I145" i="6"/>
  <c r="K145" i="6" s="1"/>
  <c r="I146" i="6"/>
  <c r="I130" i="6" s="1"/>
  <c r="K130" i="6" s="1"/>
  <c r="J148" i="6"/>
  <c r="L150" i="6"/>
  <c r="M150" i="6"/>
  <c r="N150" i="6"/>
  <c r="P150" i="6"/>
  <c r="O153" i="6"/>
  <c r="P153" i="6"/>
  <c r="L154" i="6"/>
  <c r="M154" i="6"/>
  <c r="M152" i="6" s="1"/>
  <c r="P152" i="6" s="1"/>
  <c r="N154" i="6"/>
  <c r="N152" i="6" s="1"/>
  <c r="O156" i="6"/>
  <c r="P156" i="6"/>
  <c r="L157" i="6"/>
  <c r="L155" i="6" s="1"/>
  <c r="O155" i="6" s="1"/>
  <c r="M157" i="6"/>
  <c r="M155" i="6" s="1"/>
  <c r="P155" i="6" s="1"/>
  <c r="N157" i="6"/>
  <c r="I159" i="6"/>
  <c r="L166" i="6"/>
  <c r="O166" i="6" s="1"/>
  <c r="M166" i="6"/>
  <c r="N166" i="6"/>
  <c r="O169" i="6"/>
  <c r="P169" i="6"/>
  <c r="L170" i="6"/>
  <c r="L168" i="6" s="1"/>
  <c r="M170" i="6"/>
  <c r="N170" i="6"/>
  <c r="O172" i="6"/>
  <c r="P172" i="6"/>
  <c r="L173" i="6"/>
  <c r="M173" i="6"/>
  <c r="P173" i="6" s="1"/>
  <c r="N173" i="6"/>
  <c r="N171" i="6" s="1"/>
  <c r="J174" i="6"/>
  <c r="J164" i="6" s="1"/>
  <c r="I176" i="6"/>
  <c r="K176" i="6" s="1"/>
  <c r="J177" i="6"/>
  <c r="L182" i="6"/>
  <c r="O182" i="6" s="1"/>
  <c r="M182" i="6"/>
  <c r="N182" i="6"/>
  <c r="O185" i="6"/>
  <c r="P185" i="6"/>
  <c r="L186" i="6"/>
  <c r="L184" i="6" s="1"/>
  <c r="M186" i="6"/>
  <c r="N186" i="6"/>
  <c r="N184" i="6" s="1"/>
  <c r="O188" i="6"/>
  <c r="P188" i="6"/>
  <c r="L189" i="6"/>
  <c r="M189" i="6"/>
  <c r="P189" i="6" s="1"/>
  <c r="N189" i="6"/>
  <c r="J190" i="6"/>
  <c r="L191" i="6"/>
  <c r="O191" i="6" s="1"/>
  <c r="P191" i="6"/>
  <c r="I193" i="6"/>
  <c r="I190" i="6" s="1"/>
  <c r="K190" i="6" s="1"/>
  <c r="J194" i="6"/>
  <c r="J197" i="6"/>
  <c r="N198" i="6"/>
  <c r="P198" i="6"/>
  <c r="L199" i="6"/>
  <c r="L200" i="6"/>
  <c r="L201" i="6"/>
  <c r="L202" i="6"/>
  <c r="I204" i="6"/>
  <c r="K204" i="6" s="1"/>
  <c r="J208" i="6"/>
  <c r="N209" i="6"/>
  <c r="P209" i="6"/>
  <c r="L210" i="6"/>
  <c r="L211" i="6"/>
  <c r="L212" i="6"/>
  <c r="I214" i="6"/>
  <c r="K214" i="6" s="1"/>
  <c r="I215" i="6"/>
  <c r="K215" i="6" s="1"/>
  <c r="J216" i="6"/>
  <c r="N217" i="6"/>
  <c r="P217" i="6"/>
  <c r="L218" i="6"/>
  <c r="L219" i="6"/>
  <c r="L220" i="6"/>
  <c r="I223" i="6"/>
  <c r="K223" i="6" s="1"/>
  <c r="I224" i="6"/>
  <c r="K224" i="6" s="1"/>
  <c r="I225" i="6"/>
  <c r="N228" i="6"/>
  <c r="N229" i="6"/>
  <c r="N230" i="6"/>
  <c r="N231" i="6"/>
  <c r="J233" i="6"/>
  <c r="I235" i="6"/>
  <c r="K235" i="6" s="1"/>
  <c r="J235" i="6"/>
  <c r="I236" i="6"/>
  <c r="J236" i="6"/>
  <c r="K236" i="6"/>
  <c r="J237" i="6"/>
  <c r="N238" i="6"/>
  <c r="N227" i="6" s="1"/>
  <c r="P238" i="6"/>
  <c r="L239" i="6"/>
  <c r="L240" i="6"/>
  <c r="L241" i="6"/>
  <c r="L242" i="6"/>
  <c r="I244" i="6"/>
  <c r="I237" i="6" s="1"/>
  <c r="K246" i="6"/>
  <c r="K247" i="6"/>
  <c r="J248" i="6"/>
  <c r="N249" i="6"/>
  <c r="P249" i="6"/>
  <c r="L250" i="6"/>
  <c r="L251" i="6"/>
  <c r="L252" i="6"/>
  <c r="L253" i="6"/>
  <c r="I255" i="6"/>
  <c r="K257" i="6"/>
  <c r="K258" i="6"/>
  <c r="J260" i="6"/>
  <c r="L262" i="6"/>
  <c r="O262" i="6" s="1"/>
  <c r="M262" i="6"/>
  <c r="N262" i="6"/>
  <c r="P262" i="6"/>
  <c r="O265" i="6"/>
  <c r="P265" i="6"/>
  <c r="L266" i="6"/>
  <c r="L264" i="6" s="1"/>
  <c r="M266" i="6"/>
  <c r="M264" i="6" s="1"/>
  <c r="N266" i="6"/>
  <c r="O268" i="6"/>
  <c r="P268" i="6"/>
  <c r="L269" i="6"/>
  <c r="L267" i="6" s="1"/>
  <c r="O267" i="6" s="1"/>
  <c r="M269" i="6"/>
  <c r="M267" i="6" s="1"/>
  <c r="P267" i="6" s="1"/>
  <c r="N269" i="6"/>
  <c r="N267" i="6" s="1"/>
  <c r="I271" i="6"/>
  <c r="J276" i="6"/>
  <c r="L278" i="6"/>
  <c r="M278" i="6"/>
  <c r="N278" i="6"/>
  <c r="O278" i="6"/>
  <c r="P278" i="6"/>
  <c r="O281" i="6"/>
  <c r="P281" i="6"/>
  <c r="L282" i="6"/>
  <c r="L280" i="6" s="1"/>
  <c r="O280" i="6" s="1"/>
  <c r="M282" i="6"/>
  <c r="M280" i="6" s="1"/>
  <c r="P280" i="6" s="1"/>
  <c r="N282" i="6"/>
  <c r="O284" i="6"/>
  <c r="P284" i="6"/>
  <c r="L285" i="6"/>
  <c r="L283" i="6" s="1"/>
  <c r="O283" i="6" s="1"/>
  <c r="M285" i="6"/>
  <c r="M283" i="6" s="1"/>
  <c r="P283" i="6" s="1"/>
  <c r="N285" i="6"/>
  <c r="N283" i="6" s="1"/>
  <c r="I287" i="6"/>
  <c r="I276" i="6" s="1"/>
  <c r="K276" i="6" s="1"/>
  <c r="I288" i="6"/>
  <c r="I275" i="6" s="1"/>
  <c r="K275" i="6" s="1"/>
  <c r="I290" i="6"/>
  <c r="K290" i="6" s="1"/>
  <c r="I291" i="6"/>
  <c r="K291" i="6" s="1"/>
  <c r="I293" i="6"/>
  <c r="K293" i="6" s="1"/>
  <c r="I294" i="6"/>
  <c r="K294" i="6" s="1"/>
  <c r="J297" i="6"/>
  <c r="L299" i="6"/>
  <c r="M299" i="6"/>
  <c r="N299" i="6"/>
  <c r="O299" i="6"/>
  <c r="P299" i="6"/>
  <c r="O302" i="6"/>
  <c r="P302" i="6"/>
  <c r="L303" i="6"/>
  <c r="L301" i="6" s="1"/>
  <c r="O301" i="6" s="1"/>
  <c r="M303" i="6"/>
  <c r="N303" i="6"/>
  <c r="N301" i="6" s="1"/>
  <c r="O305" i="6"/>
  <c r="P305" i="6"/>
  <c r="L306" i="6"/>
  <c r="L304" i="6" s="1"/>
  <c r="O304" i="6" s="1"/>
  <c r="M306" i="6"/>
  <c r="P306" i="6" s="1"/>
  <c r="N306" i="6"/>
  <c r="N304" i="6" s="1"/>
  <c r="I309" i="6"/>
  <c r="I297" i="6" s="1"/>
  <c r="K297" i="6" s="1"/>
  <c r="I310" i="6"/>
  <c r="K310" i="6" s="1"/>
  <c r="I311" i="6"/>
  <c r="K311" i="6" s="1"/>
  <c r="I312" i="6"/>
  <c r="K312" i="6" s="1"/>
  <c r="J314" i="6"/>
  <c r="L316" i="6"/>
  <c r="M316" i="6"/>
  <c r="P316" i="6" s="1"/>
  <c r="N316" i="6"/>
  <c r="O319" i="6"/>
  <c r="P319" i="6"/>
  <c r="L320" i="6"/>
  <c r="L318" i="6" s="1"/>
  <c r="O318" i="6" s="1"/>
  <c r="M320" i="6"/>
  <c r="N320" i="6"/>
  <c r="O322" i="6"/>
  <c r="P322" i="6"/>
  <c r="L323" i="6"/>
  <c r="L321" i="6" s="1"/>
  <c r="O321" i="6" s="1"/>
  <c r="M323" i="6"/>
  <c r="N323" i="6"/>
  <c r="N321" i="6" s="1"/>
  <c r="I325" i="6"/>
  <c r="I314" i="6" s="1"/>
  <c r="K314" i="6" s="1"/>
  <c r="I327" i="6"/>
  <c r="L329" i="6"/>
  <c r="O329" i="6" s="1"/>
  <c r="M329" i="6"/>
  <c r="N329" i="6"/>
  <c r="P329" i="6"/>
  <c r="O332" i="6"/>
  <c r="P332" i="6"/>
  <c r="L333" i="6"/>
  <c r="L331" i="6" s="1"/>
  <c r="M333" i="6"/>
  <c r="M331" i="6" s="1"/>
  <c r="N333" i="6"/>
  <c r="N331" i="6" s="1"/>
  <c r="O335" i="6"/>
  <c r="P335" i="6"/>
  <c r="L336" i="6"/>
  <c r="O336" i="6" s="1"/>
  <c r="M336" i="6"/>
  <c r="M334" i="6" s="1"/>
  <c r="P334" i="6" s="1"/>
  <c r="N336" i="6"/>
  <c r="N334" i="6" s="1"/>
  <c r="D337" i="6"/>
  <c r="I338" i="6"/>
  <c r="J338" i="6"/>
  <c r="I340" i="6"/>
  <c r="J340" i="6"/>
  <c r="J341" i="6"/>
  <c r="J342" i="6"/>
  <c r="J343" i="6"/>
  <c r="L346" i="6"/>
  <c r="M346" i="6"/>
  <c r="N346" i="6"/>
  <c r="O346" i="6"/>
  <c r="P346" i="6"/>
  <c r="O349" i="6"/>
  <c r="P349" i="6"/>
  <c r="L350" i="6"/>
  <c r="L348" i="6" s="1"/>
  <c r="M350" i="6"/>
  <c r="M348" i="6" s="1"/>
  <c r="N350" i="6"/>
  <c r="N348" i="6" s="1"/>
  <c r="O352" i="6"/>
  <c r="P352" i="6"/>
  <c r="L353" i="6"/>
  <c r="L351" i="6" s="1"/>
  <c r="M353" i="6"/>
  <c r="M351" i="6" s="1"/>
  <c r="N353" i="6"/>
  <c r="N351" i="6" s="1"/>
  <c r="I355" i="6"/>
  <c r="J358" i="6"/>
  <c r="K358" i="6"/>
  <c r="I359" i="6"/>
  <c r="J359" i="6"/>
  <c r="I360" i="6"/>
  <c r="J360" i="6"/>
  <c r="J361" i="6"/>
  <c r="K361" i="6"/>
  <c r="I362" i="6"/>
  <c r="J362" i="6"/>
  <c r="J355" i="6" s="1"/>
  <c r="J363" i="6"/>
  <c r="K363" i="6"/>
  <c r="I365" i="6"/>
  <c r="J368" i="6"/>
  <c r="K368" i="6"/>
  <c r="I369" i="6"/>
  <c r="J369" i="6"/>
  <c r="I370" i="6"/>
  <c r="J370" i="6"/>
  <c r="J371" i="6"/>
  <c r="K371" i="6"/>
  <c r="I372" i="6"/>
  <c r="J372" i="6"/>
  <c r="A373" i="6"/>
  <c r="J373" i="6"/>
  <c r="K373" i="6"/>
  <c r="I374" i="6"/>
  <c r="J377" i="6"/>
  <c r="K377" i="6"/>
  <c r="I378" i="6"/>
  <c r="J378" i="6"/>
  <c r="I379" i="6"/>
  <c r="J379" i="6"/>
  <c r="J380" i="6"/>
  <c r="K380" i="6"/>
  <c r="I381" i="6"/>
  <c r="J381" i="6"/>
  <c r="J374" i="6" s="1"/>
  <c r="A382" i="6"/>
  <c r="J382" i="6"/>
  <c r="K382" i="6"/>
  <c r="D384" i="6"/>
  <c r="I385" i="6"/>
  <c r="K385" i="6" s="1"/>
  <c r="J385" i="6"/>
  <c r="I388" i="6"/>
  <c r="J388" i="6"/>
  <c r="K388" i="6"/>
  <c r="L390" i="6"/>
  <c r="O390" i="6" s="1"/>
  <c r="M390" i="6"/>
  <c r="P390" i="6" s="1"/>
  <c r="N390" i="6"/>
  <c r="O393" i="6"/>
  <c r="P393" i="6"/>
  <c r="L394" i="6"/>
  <c r="M394" i="6"/>
  <c r="M392" i="6" s="1"/>
  <c r="P392" i="6" s="1"/>
  <c r="N394" i="6"/>
  <c r="N392" i="6" s="1"/>
  <c r="O396" i="6"/>
  <c r="P396" i="6"/>
  <c r="L397" i="6"/>
  <c r="M397" i="6"/>
  <c r="M395" i="6" s="1"/>
  <c r="P395" i="6" s="1"/>
  <c r="N397" i="6"/>
  <c r="N395" i="6" s="1"/>
  <c r="K399" i="6"/>
  <c r="K400" i="6"/>
  <c r="I401" i="6"/>
  <c r="J401" i="6"/>
  <c r="K401" i="6"/>
  <c r="L403" i="6"/>
  <c r="O403" i="6" s="1"/>
  <c r="M403" i="6"/>
  <c r="N403" i="6"/>
  <c r="P403" i="6"/>
  <c r="O406" i="6"/>
  <c r="P406" i="6"/>
  <c r="L407" i="6"/>
  <c r="L405" i="6" s="1"/>
  <c r="O405" i="6" s="1"/>
  <c r="M407" i="6"/>
  <c r="N407" i="6"/>
  <c r="N405" i="6" s="1"/>
  <c r="O409" i="6"/>
  <c r="P409" i="6"/>
  <c r="L410" i="6"/>
  <c r="O410" i="6" s="1"/>
  <c r="M410" i="6"/>
  <c r="N410" i="6"/>
  <c r="N408" i="6" s="1"/>
  <c r="K412" i="6"/>
  <c r="K413" i="6"/>
  <c r="L420" i="6"/>
  <c r="M420" i="6"/>
  <c r="P420" i="6" s="1"/>
  <c r="N420" i="6"/>
  <c r="O423" i="6"/>
  <c r="P423" i="6"/>
  <c r="L424" i="6"/>
  <c r="M424" i="6" s="1"/>
  <c r="N425" i="6"/>
  <c r="N424" i="6" s="1"/>
  <c r="N422" i="6" s="1"/>
  <c r="N428" i="6"/>
  <c r="M429" i="6"/>
  <c r="P429" i="6" s="1"/>
  <c r="N429" i="6"/>
  <c r="O430" i="6"/>
  <c r="P430" i="6"/>
  <c r="L431" i="6"/>
  <c r="P431" i="6"/>
  <c r="J434" i="6"/>
  <c r="J418" i="6" s="1"/>
  <c r="I435" i="6"/>
  <c r="I433" i="6" s="1"/>
  <c r="I417" i="6" s="1"/>
  <c r="I437" i="6"/>
  <c r="I438" i="6"/>
  <c r="I439" i="6"/>
  <c r="K439" i="6" s="1"/>
  <c r="I440" i="6"/>
  <c r="K440" i="6" s="1"/>
  <c r="I441" i="6"/>
  <c r="K441" i="6" s="1"/>
  <c r="J442" i="6"/>
  <c r="J443" i="6"/>
  <c r="N444" i="6"/>
  <c r="L445" i="6"/>
  <c r="M445" i="6"/>
  <c r="N445" i="6"/>
  <c r="P445" i="6"/>
  <c r="M446" i="6"/>
  <c r="M444" i="6" s="1"/>
  <c r="P444" i="6" s="1"/>
  <c r="M447" i="6"/>
  <c r="P447" i="6" s="1"/>
  <c r="N447" i="6"/>
  <c r="O448" i="6"/>
  <c r="P448" i="6"/>
  <c r="L449" i="6"/>
  <c r="N449" i="6"/>
  <c r="N446" i="6" s="1"/>
  <c r="P449" i="6"/>
  <c r="M454" i="6"/>
  <c r="P454" i="6" s="1"/>
  <c r="N454" i="6"/>
  <c r="O455" i="6"/>
  <c r="P455" i="6"/>
  <c r="L456" i="6"/>
  <c r="L454" i="6" s="1"/>
  <c r="O454" i="6" s="1"/>
  <c r="P456" i="6"/>
  <c r="K458" i="6"/>
  <c r="I460" i="6"/>
  <c r="I442" i="6" s="1"/>
  <c r="K442" i="6" s="1"/>
  <c r="I462" i="6"/>
  <c r="I443" i="6" s="1"/>
  <c r="K443" i="6" s="1"/>
  <c r="I463" i="6"/>
  <c r="I464" i="6"/>
  <c r="I465" i="6"/>
  <c r="J465" i="6"/>
  <c r="I466" i="6"/>
  <c r="J466" i="6"/>
  <c r="L468" i="6"/>
  <c r="M468" i="6"/>
  <c r="N468" i="6"/>
  <c r="O468" i="6"/>
  <c r="P468" i="6"/>
  <c r="O471" i="6"/>
  <c r="P471" i="6"/>
  <c r="L472" i="6"/>
  <c r="M472" i="6" s="1"/>
  <c r="N473" i="6"/>
  <c r="N474" i="6"/>
  <c r="N476" i="6"/>
  <c r="M477" i="6"/>
  <c r="N477" i="6"/>
  <c r="P477" i="6"/>
  <c r="O478" i="6"/>
  <c r="P478" i="6"/>
  <c r="L479" i="6"/>
  <c r="P479" i="6"/>
  <c r="I483" i="6"/>
  <c r="K483" i="6" s="1"/>
  <c r="I485" i="6"/>
  <c r="K485" i="6" s="1"/>
  <c r="I487" i="6"/>
  <c r="K487" i="6" s="1"/>
  <c r="I489" i="6"/>
  <c r="K489" i="6" s="1"/>
  <c r="I492" i="6"/>
  <c r="K492" i="6" s="1"/>
  <c r="I495" i="6"/>
  <c r="K495" i="6" s="1"/>
  <c r="I498" i="6"/>
  <c r="K498" i="6" s="1"/>
  <c r="J500" i="6"/>
  <c r="K500" i="6"/>
  <c r="K501" i="6"/>
  <c r="L503" i="6"/>
  <c r="L502" i="6" s="1"/>
  <c r="O502" i="6" s="1"/>
  <c r="M503" i="6"/>
  <c r="N503" i="6"/>
  <c r="P503" i="6"/>
  <c r="L504" i="6"/>
  <c r="O504" i="6" s="1"/>
  <c r="M504" i="6"/>
  <c r="P504" i="6" s="1"/>
  <c r="N504" i="6"/>
  <c r="N502" i="6" s="1"/>
  <c r="L505" i="6"/>
  <c r="M505" i="6"/>
  <c r="P505" i="6" s="1"/>
  <c r="N505" i="6"/>
  <c r="O505" i="6"/>
  <c r="O506" i="6"/>
  <c r="P506" i="6"/>
  <c r="N507" i="6"/>
  <c r="O507" i="6"/>
  <c r="P507" i="6"/>
  <c r="L512" i="6"/>
  <c r="M512" i="6"/>
  <c r="N512" i="6"/>
  <c r="O512" i="6"/>
  <c r="P512" i="6"/>
  <c r="O513" i="6"/>
  <c r="P513" i="6"/>
  <c r="O514" i="6"/>
  <c r="P514" i="6"/>
  <c r="K516" i="6"/>
  <c r="J517" i="6"/>
  <c r="J501" i="6" s="1"/>
  <c r="K517" i="6"/>
  <c r="L524" i="6"/>
  <c r="M524" i="6"/>
  <c r="P524" i="6" s="1"/>
  <c r="N524" i="6"/>
  <c r="M525" i="6"/>
  <c r="P525" i="6"/>
  <c r="M526" i="6"/>
  <c r="P526" i="6"/>
  <c r="O527" i="6"/>
  <c r="P527" i="6"/>
  <c r="L528" i="6"/>
  <c r="L526" i="6" s="1"/>
  <c r="O526" i="6" s="1"/>
  <c r="N528" i="6"/>
  <c r="N525" i="6" s="1"/>
  <c r="N523" i="6" s="1"/>
  <c r="P528" i="6"/>
  <c r="M533" i="6"/>
  <c r="N533" i="6"/>
  <c r="P533" i="6"/>
  <c r="O534" i="6"/>
  <c r="P534" i="6"/>
  <c r="L535" i="6"/>
  <c r="L533" i="6" s="1"/>
  <c r="O533" i="6" s="1"/>
  <c r="P535" i="6"/>
  <c r="I537" i="6"/>
  <c r="I522" i="6" s="1"/>
  <c r="K522" i="6" s="1"/>
  <c r="I538" i="6"/>
  <c r="K538" i="6" s="1"/>
  <c r="I539" i="6"/>
  <c r="K539" i="6" s="1"/>
  <c r="I540" i="6"/>
  <c r="K540" i="6" s="1"/>
  <c r="I541" i="6"/>
  <c r="K541" i="6" s="1"/>
  <c r="I542" i="6"/>
  <c r="K542" i="6" s="1"/>
  <c r="L545" i="6"/>
  <c r="O545" i="6"/>
  <c r="O548" i="6"/>
  <c r="P548" i="6"/>
  <c r="L549" i="6"/>
  <c r="M549" i="6" s="1"/>
  <c r="M546" i="6" s="1"/>
  <c r="N552" i="6"/>
  <c r="N553" i="6"/>
  <c r="M555" i="6"/>
  <c r="P555" i="6" s="1"/>
  <c r="N555" i="6"/>
  <c r="N545" i="6" s="1"/>
  <c r="O556" i="6"/>
  <c r="P556" i="6"/>
  <c r="L557" i="6"/>
  <c r="L555" i="6" s="1"/>
  <c r="O555" i="6" s="1"/>
  <c r="P557" i="6"/>
  <c r="I560" i="6"/>
  <c r="J560" i="6"/>
  <c r="I561" i="6"/>
  <c r="K561" i="6" s="1"/>
  <c r="J561" i="6"/>
  <c r="I568" i="6"/>
  <c r="K568" i="6" s="1"/>
  <c r="J568" i="6"/>
  <c r="I569" i="6"/>
  <c r="J569" i="6"/>
  <c r="I576" i="6"/>
  <c r="I559" i="6" s="1"/>
  <c r="I577" i="6"/>
  <c r="J582" i="6"/>
  <c r="J576" i="6" s="1"/>
  <c r="J559" i="6" s="1"/>
  <c r="J543" i="6" s="1"/>
  <c r="J583" i="6"/>
  <c r="J577" i="6" s="1"/>
  <c r="I593" i="6"/>
  <c r="I592" i="6" s="1"/>
  <c r="J593" i="6"/>
  <c r="I594" i="6"/>
  <c r="J595" i="6"/>
  <c r="J596" i="6"/>
  <c r="J594" i="6" s="1"/>
  <c r="J603" i="6"/>
  <c r="J604" i="6"/>
  <c r="J611" i="6"/>
  <c r="K611" i="6"/>
  <c r="J612" i="6"/>
  <c r="K612" i="6"/>
  <c r="J613" i="6"/>
  <c r="K613" i="6"/>
  <c r="I620" i="6"/>
  <c r="K620" i="6" s="1"/>
  <c r="J620" i="6"/>
  <c r="I621" i="6"/>
  <c r="K621" i="6" s="1"/>
  <c r="J621" i="6"/>
  <c r="L630" i="6"/>
  <c r="M630" i="6"/>
  <c r="N630" i="6"/>
  <c r="O630" i="6"/>
  <c r="O633" i="6"/>
  <c r="P633" i="6"/>
  <c r="L634" i="6"/>
  <c r="M634" i="6" s="1"/>
  <c r="M631" i="6" s="1"/>
  <c r="N638" i="6"/>
  <c r="N634" i="6" s="1"/>
  <c r="M639" i="6"/>
  <c r="N639" i="6"/>
  <c r="P639" i="6"/>
  <c r="O640" i="6"/>
  <c r="P640" i="6"/>
  <c r="L641" i="6"/>
  <c r="L639" i="6" s="1"/>
  <c r="O639" i="6" s="1"/>
  <c r="P641" i="6"/>
  <c r="I643" i="6"/>
  <c r="K643" i="6" s="1"/>
  <c r="I644" i="6"/>
  <c r="K644" i="6" s="1"/>
  <c r="J645" i="6"/>
  <c r="K645" i="6"/>
  <c r="J646" i="6"/>
  <c r="K646" i="6"/>
  <c r="I647" i="6"/>
  <c r="J647" i="6"/>
  <c r="J648" i="6"/>
  <c r="K648" i="6"/>
  <c r="I649" i="6"/>
  <c r="J649" i="6"/>
  <c r="J650" i="6"/>
  <c r="K650" i="6"/>
  <c r="I651" i="6"/>
  <c r="I628" i="6" s="1"/>
  <c r="J651" i="6"/>
  <c r="J628" i="6" s="1"/>
  <c r="A652" i="6"/>
  <c r="J652" i="6"/>
  <c r="K652" i="6"/>
  <c r="L656" i="6"/>
  <c r="M656" i="6"/>
  <c r="N656" i="6"/>
  <c r="P656" i="6"/>
  <c r="O659" i="6"/>
  <c r="P659" i="6"/>
  <c r="L660" i="6"/>
  <c r="L658" i="6" s="1"/>
  <c r="N664" i="6"/>
  <c r="N660" i="6" s="1"/>
  <c r="N657" i="6" s="1"/>
  <c r="L665" i="6"/>
  <c r="M665" i="6"/>
  <c r="N665" i="6"/>
  <c r="P665" i="6"/>
  <c r="O666" i="6"/>
  <c r="P666" i="6"/>
  <c r="O667" i="6"/>
  <c r="P667" i="6"/>
  <c r="I669" i="6"/>
  <c r="K675" i="6" s="1"/>
  <c r="J669" i="6"/>
  <c r="J654" i="6" s="1"/>
  <c r="I670" i="6"/>
  <c r="K670" i="6" s="1"/>
  <c r="I671" i="6"/>
  <c r="K671" i="6" s="1"/>
  <c r="J675" i="6"/>
  <c r="I678" i="6"/>
  <c r="K678" i="6" s="1"/>
  <c r="J678" i="6"/>
  <c r="J679" i="6"/>
  <c r="L686" i="6"/>
  <c r="O686" i="6" s="1"/>
  <c r="M686" i="6"/>
  <c r="N686" i="6"/>
  <c r="P686" i="6"/>
  <c r="L690" i="6"/>
  <c r="L688" i="6" s="1"/>
  <c r="N694" i="6"/>
  <c r="N690" i="6" s="1"/>
  <c r="L695" i="6"/>
  <c r="M695" i="6"/>
  <c r="P695" i="6" s="1"/>
  <c r="N695" i="6"/>
  <c r="O695" i="6"/>
  <c r="O696" i="6"/>
  <c r="P696" i="6"/>
  <c r="O697" i="6"/>
  <c r="P697" i="6"/>
  <c r="I699" i="6"/>
  <c r="J699" i="6"/>
  <c r="I700" i="6"/>
  <c r="J700" i="6"/>
  <c r="I701" i="6"/>
  <c r="K701" i="6" s="1"/>
  <c r="J701" i="6"/>
  <c r="I704" i="6"/>
  <c r="I707" i="6"/>
  <c r="I708" i="6"/>
  <c r="K708" i="6" s="1"/>
  <c r="J708" i="6"/>
  <c r="J718" i="6"/>
  <c r="J719" i="6"/>
  <c r="I720" i="6"/>
  <c r="K720" i="6" s="1"/>
  <c r="J720" i="6"/>
  <c r="I721" i="6"/>
  <c r="K721" i="6" s="1"/>
  <c r="I722" i="6"/>
  <c r="K722" i="6" s="1"/>
  <c r="I723" i="6"/>
  <c r="K723" i="6" s="1"/>
  <c r="J723" i="6"/>
  <c r="J724" i="6"/>
  <c r="I725" i="6"/>
  <c r="K725" i="6" s="1"/>
  <c r="J725" i="6"/>
  <c r="I726" i="6"/>
  <c r="K726" i="6" s="1"/>
  <c r="J726" i="6"/>
  <c r="J727" i="6"/>
  <c r="I728" i="6"/>
  <c r="K728" i="6" s="1"/>
  <c r="J728" i="6"/>
  <c r="I729" i="6"/>
  <c r="K729" i="6" s="1"/>
  <c r="J729" i="6"/>
  <c r="J736" i="6"/>
  <c r="K736" i="6"/>
  <c r="L738" i="6"/>
  <c r="L737" i="6" s="1"/>
  <c r="O737" i="6" s="1"/>
  <c r="M738" i="6"/>
  <c r="N738" i="6"/>
  <c r="N737" i="6" s="1"/>
  <c r="P738" i="6"/>
  <c r="L739" i="6"/>
  <c r="M739" i="6"/>
  <c r="M737" i="6" s="1"/>
  <c r="P737" i="6" s="1"/>
  <c r="N739" i="6"/>
  <c r="O739" i="6"/>
  <c r="L740" i="6"/>
  <c r="O740" i="6" s="1"/>
  <c r="M740" i="6"/>
  <c r="N740" i="6"/>
  <c r="P740" i="6"/>
  <c r="O741" i="6"/>
  <c r="P741" i="6"/>
  <c r="N742" i="6"/>
  <c r="O742" i="6"/>
  <c r="P742" i="6"/>
  <c r="L747" i="6"/>
  <c r="O747" i="6" s="1"/>
  <c r="M747" i="6"/>
  <c r="N747" i="6"/>
  <c r="P747" i="6"/>
  <c r="O748" i="6"/>
  <c r="P748" i="6"/>
  <c r="O749" i="6"/>
  <c r="P749" i="6"/>
  <c r="J753" i="6"/>
  <c r="K753" i="6"/>
  <c r="N754" i="6"/>
  <c r="L755" i="6"/>
  <c r="L754" i="6" s="1"/>
  <c r="O754" i="6" s="1"/>
  <c r="M755" i="6"/>
  <c r="N755" i="6"/>
  <c r="P755" i="6"/>
  <c r="L756" i="6"/>
  <c r="M756" i="6"/>
  <c r="M754" i="6" s="1"/>
  <c r="P754" i="6" s="1"/>
  <c r="N756" i="6"/>
  <c r="O756" i="6"/>
  <c r="L757" i="6"/>
  <c r="O757" i="6" s="1"/>
  <c r="M757" i="6"/>
  <c r="N757" i="6"/>
  <c r="P757" i="6"/>
  <c r="O758" i="6"/>
  <c r="P758" i="6"/>
  <c r="N759" i="6"/>
  <c r="O759" i="6"/>
  <c r="P759" i="6"/>
  <c r="L764" i="6"/>
  <c r="O764" i="6" s="1"/>
  <c r="M764" i="6"/>
  <c r="N764" i="6"/>
  <c r="P764" i="6"/>
  <c r="O765" i="6"/>
  <c r="P765" i="6"/>
  <c r="O766" i="6"/>
  <c r="P766" i="6"/>
  <c r="J769" i="6"/>
  <c r="K769" i="6"/>
  <c r="N770" i="6"/>
  <c r="L771" i="6"/>
  <c r="L770" i="6" s="1"/>
  <c r="O770" i="6" s="1"/>
  <c r="M771" i="6"/>
  <c r="N771" i="6"/>
  <c r="P771" i="6"/>
  <c r="L772" i="6"/>
  <c r="M772" i="6"/>
  <c r="M770" i="6" s="1"/>
  <c r="P770" i="6" s="1"/>
  <c r="N772" i="6"/>
  <c r="O772" i="6"/>
  <c r="L773" i="6"/>
  <c r="O773" i="6" s="1"/>
  <c r="M773" i="6"/>
  <c r="N773" i="6"/>
  <c r="P773" i="6"/>
  <c r="O774" i="6"/>
  <c r="P774" i="6"/>
  <c r="N775" i="6"/>
  <c r="O775" i="6"/>
  <c r="P775" i="6"/>
  <c r="L780" i="6"/>
  <c r="O780" i="6" s="1"/>
  <c r="M780" i="6"/>
  <c r="N780" i="6"/>
  <c r="P780" i="6"/>
  <c r="O781" i="6"/>
  <c r="P781" i="6"/>
  <c r="O782" i="6"/>
  <c r="P782" i="6"/>
  <c r="L787" i="6"/>
  <c r="M787" i="6"/>
  <c r="M786" i="6" s="1"/>
  <c r="P786" i="6" s="1"/>
  <c r="N787" i="6"/>
  <c r="N786" i="6" s="1"/>
  <c r="O787" i="6"/>
  <c r="M788" i="6"/>
  <c r="N788" i="6"/>
  <c r="P788" i="6"/>
  <c r="M789" i="6"/>
  <c r="P789" i="6" s="1"/>
  <c r="O790" i="6"/>
  <c r="P790" i="6"/>
  <c r="L791" i="6"/>
  <c r="O791" i="6" s="1"/>
  <c r="N791" i="6"/>
  <c r="N789" i="6" s="1"/>
  <c r="P791" i="6"/>
  <c r="L796" i="6"/>
  <c r="O796" i="6" s="1"/>
  <c r="M796" i="6"/>
  <c r="N796" i="6"/>
  <c r="P796" i="6"/>
  <c r="O797" i="6"/>
  <c r="P797" i="6"/>
  <c r="O798" i="6"/>
  <c r="P798" i="6"/>
  <c r="I800" i="6"/>
  <c r="I785" i="6" s="1"/>
  <c r="K785" i="6" s="1"/>
  <c r="J800" i="6"/>
  <c r="J785" i="6" s="1"/>
  <c r="J801" i="6"/>
  <c r="K802" i="6"/>
  <c r="J804" i="6"/>
  <c r="K804" i="6"/>
  <c r="L806" i="6"/>
  <c r="M806" i="6"/>
  <c r="M805" i="6" s="1"/>
  <c r="P805" i="6" s="1"/>
  <c r="N806" i="6"/>
  <c r="O806" i="6"/>
  <c r="L807" i="6"/>
  <c r="L805" i="6" s="1"/>
  <c r="O805" i="6" s="1"/>
  <c r="M807" i="6"/>
  <c r="P807" i="6"/>
  <c r="L808" i="6"/>
  <c r="M808" i="6"/>
  <c r="P808" i="6" s="1"/>
  <c r="O808" i="6"/>
  <c r="O809" i="6"/>
  <c r="P809" i="6"/>
  <c r="N810" i="6"/>
  <c r="N808" i="6" s="1"/>
  <c r="O810" i="6"/>
  <c r="P810" i="6"/>
  <c r="L815" i="6"/>
  <c r="M815" i="6"/>
  <c r="P815" i="6" s="1"/>
  <c r="N815" i="6"/>
  <c r="O815" i="6"/>
  <c r="O816" i="6"/>
  <c r="P816" i="6"/>
  <c r="O817" i="6"/>
  <c r="P817" i="6"/>
  <c r="H820" i="6"/>
  <c r="I821" i="6"/>
  <c r="J821" i="6"/>
  <c r="I822" i="6"/>
  <c r="J822" i="6"/>
  <c r="I823" i="6"/>
  <c r="J823" i="6"/>
  <c r="I824" i="6"/>
  <c r="J824" i="6"/>
  <c r="I825" i="6"/>
  <c r="J825" i="6"/>
  <c r="I826" i="6"/>
  <c r="J826" i="6"/>
  <c r="I827" i="6"/>
  <c r="J827" i="6"/>
  <c r="I828" i="6"/>
  <c r="J828" i="6"/>
  <c r="L22" i="5"/>
  <c r="M22" i="5"/>
  <c r="N22" i="5"/>
  <c r="N19" i="5" s="1"/>
  <c r="L25" i="5"/>
  <c r="L15" i="5" s="1"/>
  <c r="M25" i="5"/>
  <c r="P25" i="5" s="1"/>
  <c r="N25" i="5"/>
  <c r="L32" i="5"/>
  <c r="O32" i="5" s="1"/>
  <c r="M32" i="5"/>
  <c r="M29" i="5" s="1"/>
  <c r="N32" i="5"/>
  <c r="L35" i="5"/>
  <c r="M35" i="5"/>
  <c r="M34" i="5" s="1"/>
  <c r="P34" i="5" s="1"/>
  <c r="N35" i="5"/>
  <c r="N34" i="5" s="1"/>
  <c r="M36" i="5"/>
  <c r="P36" i="5" s="1"/>
  <c r="N36" i="5"/>
  <c r="L42" i="5"/>
  <c r="M42" i="5"/>
  <c r="N42" i="5"/>
  <c r="O42" i="5"/>
  <c r="P42" i="5"/>
  <c r="O45" i="5"/>
  <c r="P45" i="5"/>
  <c r="L46" i="5"/>
  <c r="M46" i="5"/>
  <c r="M44" i="5" s="1"/>
  <c r="N46" i="5"/>
  <c r="O48" i="5"/>
  <c r="P48" i="5"/>
  <c r="L49" i="5"/>
  <c r="L47" i="5" s="1"/>
  <c r="O47" i="5" s="1"/>
  <c r="M49" i="5"/>
  <c r="M47" i="5" s="1"/>
  <c r="P47" i="5" s="1"/>
  <c r="N49" i="5"/>
  <c r="N47" i="5" s="1"/>
  <c r="L54" i="5"/>
  <c r="M54" i="5"/>
  <c r="N54" i="5"/>
  <c r="O57" i="5"/>
  <c r="P57" i="5"/>
  <c r="L58" i="5"/>
  <c r="M58" i="5"/>
  <c r="N58" i="5"/>
  <c r="N56" i="5" s="1"/>
  <c r="O60" i="5"/>
  <c r="P60" i="5"/>
  <c r="L61" i="5"/>
  <c r="L59" i="5" s="1"/>
  <c r="M61" i="5"/>
  <c r="N61" i="5"/>
  <c r="L67" i="5"/>
  <c r="M67" i="5"/>
  <c r="N67" i="5"/>
  <c r="O67" i="5"/>
  <c r="O70" i="5"/>
  <c r="P70" i="5"/>
  <c r="L71" i="5"/>
  <c r="L69" i="5" s="1"/>
  <c r="O69" i="5" s="1"/>
  <c r="M71" i="5"/>
  <c r="N71" i="5"/>
  <c r="N69" i="5" s="1"/>
  <c r="O73" i="5"/>
  <c r="P73" i="5"/>
  <c r="L74" i="5"/>
  <c r="O74" i="5" s="1"/>
  <c r="M74" i="5"/>
  <c r="M72" i="5" s="1"/>
  <c r="P72" i="5" s="1"/>
  <c r="N74" i="5"/>
  <c r="N72" i="5" s="1"/>
  <c r="J76" i="5"/>
  <c r="J64" i="5" s="1"/>
  <c r="J77" i="5"/>
  <c r="J65" i="5" s="1"/>
  <c r="I78" i="5"/>
  <c r="K78" i="5" s="1"/>
  <c r="I79" i="5"/>
  <c r="K79" i="5" s="1"/>
  <c r="I80" i="5"/>
  <c r="K80" i="5" s="1"/>
  <c r="I81" i="5"/>
  <c r="I82" i="5"/>
  <c r="K82" i="5" s="1"/>
  <c r="I83" i="5"/>
  <c r="K83" i="5" s="1"/>
  <c r="I84" i="5"/>
  <c r="K84" i="5" s="1"/>
  <c r="L89" i="5"/>
  <c r="M89" i="5"/>
  <c r="P89" i="5" s="1"/>
  <c r="N89" i="5"/>
  <c r="O92" i="5"/>
  <c r="P92" i="5"/>
  <c r="L93" i="5"/>
  <c r="M93" i="5"/>
  <c r="M91" i="5" s="1"/>
  <c r="N93" i="5"/>
  <c r="N91" i="5" s="1"/>
  <c r="O95" i="5"/>
  <c r="P95" i="5"/>
  <c r="L96" i="5"/>
  <c r="O96" i="5" s="1"/>
  <c r="M96" i="5"/>
  <c r="P96" i="5" s="1"/>
  <c r="N96" i="5"/>
  <c r="N94" i="5" s="1"/>
  <c r="I98" i="5"/>
  <c r="J98" i="5"/>
  <c r="J86" i="5" s="1"/>
  <c r="I99" i="5"/>
  <c r="K99" i="5" s="1"/>
  <c r="J99" i="5"/>
  <c r="J87" i="5" s="1"/>
  <c r="I100" i="5"/>
  <c r="K100" i="5" s="1"/>
  <c r="J100" i="5"/>
  <c r="I102" i="5"/>
  <c r="K102" i="5" s="1"/>
  <c r="I103" i="5"/>
  <c r="K103" i="5" s="1"/>
  <c r="I104" i="5"/>
  <c r="K104" i="5" s="1"/>
  <c r="I106" i="5"/>
  <c r="K106" i="5" s="1"/>
  <c r="I107" i="5"/>
  <c r="K107" i="5" s="1"/>
  <c r="I109" i="5"/>
  <c r="K109" i="5" s="1"/>
  <c r="I110" i="5"/>
  <c r="K110" i="5" s="1"/>
  <c r="I111" i="5"/>
  <c r="K111" i="5" s="1"/>
  <c r="J111" i="5"/>
  <c r="J112" i="5"/>
  <c r="I113" i="5"/>
  <c r="K113" i="5" s="1"/>
  <c r="I114" i="5"/>
  <c r="K114" i="5" s="1"/>
  <c r="I115" i="5"/>
  <c r="I116" i="5"/>
  <c r="K116" i="5" s="1"/>
  <c r="K118" i="5"/>
  <c r="L120" i="5"/>
  <c r="M120" i="5"/>
  <c r="N120" i="5"/>
  <c r="O123" i="5"/>
  <c r="P123" i="5"/>
  <c r="L124" i="5"/>
  <c r="M124" i="5"/>
  <c r="P124" i="5" s="1"/>
  <c r="N124" i="5"/>
  <c r="O126" i="5"/>
  <c r="P126" i="5"/>
  <c r="L127" i="5"/>
  <c r="M127" i="5"/>
  <c r="N127" i="5"/>
  <c r="N125" i="5" s="1"/>
  <c r="J130" i="5"/>
  <c r="L133" i="5"/>
  <c r="M133" i="5"/>
  <c r="N133" i="5"/>
  <c r="O133" i="5"/>
  <c r="P133" i="5"/>
  <c r="O136" i="5"/>
  <c r="P136" i="5"/>
  <c r="L137" i="5"/>
  <c r="L135" i="5" s="1"/>
  <c r="M137" i="5"/>
  <c r="M135" i="5" s="1"/>
  <c r="N137" i="5"/>
  <c r="O139" i="5"/>
  <c r="P139" i="5"/>
  <c r="L140" i="5"/>
  <c r="L138" i="5" s="1"/>
  <c r="M140" i="5"/>
  <c r="M138" i="5" s="1"/>
  <c r="N140" i="5"/>
  <c r="N138" i="5" s="1"/>
  <c r="I144" i="5"/>
  <c r="K144" i="5" s="1"/>
  <c r="I145" i="5"/>
  <c r="I146" i="5"/>
  <c r="K146" i="5" s="1"/>
  <c r="J148" i="5"/>
  <c r="L150" i="5"/>
  <c r="M150" i="5"/>
  <c r="P150" i="5" s="1"/>
  <c r="N150" i="5"/>
  <c r="O153" i="5"/>
  <c r="P153" i="5"/>
  <c r="L154" i="5"/>
  <c r="M154" i="5"/>
  <c r="N154" i="5"/>
  <c r="N152" i="5" s="1"/>
  <c r="O156" i="5"/>
  <c r="P156" i="5"/>
  <c r="L157" i="5"/>
  <c r="M157" i="5"/>
  <c r="P157" i="5" s="1"/>
  <c r="N157" i="5"/>
  <c r="N155" i="5" s="1"/>
  <c r="I159" i="5"/>
  <c r="I148" i="5" s="1"/>
  <c r="K148" i="5" s="1"/>
  <c r="L166" i="5"/>
  <c r="M166" i="5"/>
  <c r="P166" i="5" s="1"/>
  <c r="N166" i="5"/>
  <c r="O169" i="5"/>
  <c r="P169" i="5"/>
  <c r="L170" i="5"/>
  <c r="L168" i="5" s="1"/>
  <c r="M170" i="5"/>
  <c r="M168" i="5" s="1"/>
  <c r="N170" i="5"/>
  <c r="N168" i="5" s="1"/>
  <c r="O172" i="5"/>
  <c r="P172" i="5"/>
  <c r="L173" i="5"/>
  <c r="L171" i="5" s="1"/>
  <c r="O171" i="5" s="1"/>
  <c r="M173" i="5"/>
  <c r="M171" i="5" s="1"/>
  <c r="P171" i="5" s="1"/>
  <c r="N173" i="5"/>
  <c r="N171" i="5" s="1"/>
  <c r="J174" i="5"/>
  <c r="I176" i="5"/>
  <c r="I174" i="5" s="1"/>
  <c r="J177" i="5"/>
  <c r="L182" i="5"/>
  <c r="O182" i="5" s="1"/>
  <c r="M182" i="5"/>
  <c r="N182" i="5"/>
  <c r="P182" i="5"/>
  <c r="O185" i="5"/>
  <c r="P185" i="5"/>
  <c r="L186" i="5"/>
  <c r="L184" i="5" s="1"/>
  <c r="M186" i="5"/>
  <c r="M184" i="5" s="1"/>
  <c r="N186" i="5"/>
  <c r="N184" i="5" s="1"/>
  <c r="O188" i="5"/>
  <c r="P188" i="5"/>
  <c r="L189" i="5"/>
  <c r="O189" i="5" s="1"/>
  <c r="M189" i="5"/>
  <c r="M187" i="5" s="1"/>
  <c r="P187" i="5" s="1"/>
  <c r="N189" i="5"/>
  <c r="N187" i="5" s="1"/>
  <c r="J190" i="5"/>
  <c r="L191" i="5"/>
  <c r="O191" i="5" s="1"/>
  <c r="P191" i="5"/>
  <c r="I193" i="5"/>
  <c r="K193" i="5" s="1"/>
  <c r="J195" i="5"/>
  <c r="J194" i="5" s="1"/>
  <c r="J197" i="5"/>
  <c r="N198" i="5"/>
  <c r="P198" i="5"/>
  <c r="L199" i="5"/>
  <c r="L200" i="5"/>
  <c r="L201" i="5"/>
  <c r="L202" i="5"/>
  <c r="I204" i="5"/>
  <c r="I197" i="5" s="1"/>
  <c r="K197" i="5" s="1"/>
  <c r="K206" i="5"/>
  <c r="K207" i="5"/>
  <c r="J208" i="5"/>
  <c r="N209" i="5"/>
  <c r="P209" i="5"/>
  <c r="L210" i="5"/>
  <c r="L211" i="5"/>
  <c r="L212" i="5"/>
  <c r="I214" i="5"/>
  <c r="K214" i="5" s="1"/>
  <c r="I215" i="5"/>
  <c r="I208" i="5" s="1"/>
  <c r="K208" i="5" s="1"/>
  <c r="J216" i="5"/>
  <c r="N217" i="5"/>
  <c r="P217" i="5"/>
  <c r="L218" i="5"/>
  <c r="L219" i="5"/>
  <c r="L220" i="5"/>
  <c r="I223" i="5"/>
  <c r="K223" i="5" s="1"/>
  <c r="I224" i="5"/>
  <c r="I216" i="5" s="1"/>
  <c r="K216" i="5" s="1"/>
  <c r="I225" i="5"/>
  <c r="N229" i="5"/>
  <c r="N230" i="5"/>
  <c r="J233" i="5"/>
  <c r="I235" i="5"/>
  <c r="K235" i="5" s="1"/>
  <c r="J235" i="5"/>
  <c r="I236" i="5"/>
  <c r="J236" i="5"/>
  <c r="K236" i="5"/>
  <c r="J237" i="5"/>
  <c r="P238" i="5"/>
  <c r="L239" i="5"/>
  <c r="N239" i="5"/>
  <c r="N228" i="5" s="1"/>
  <c r="L240" i="5"/>
  <c r="L241" i="5"/>
  <c r="L242" i="5"/>
  <c r="N242" i="5"/>
  <c r="N231" i="5" s="1"/>
  <c r="I244" i="5"/>
  <c r="K246" i="5"/>
  <c r="K247" i="5"/>
  <c r="J248" i="5"/>
  <c r="N249" i="5"/>
  <c r="P249" i="5"/>
  <c r="L250" i="5"/>
  <c r="L251" i="5"/>
  <c r="L252" i="5"/>
  <c r="L253" i="5"/>
  <c r="I255" i="5"/>
  <c r="I248" i="5" s="1"/>
  <c r="K248" i="5" s="1"/>
  <c r="K257" i="5"/>
  <c r="K258" i="5"/>
  <c r="J260" i="5"/>
  <c r="L262" i="5"/>
  <c r="M262" i="5"/>
  <c r="N262" i="5"/>
  <c r="O262" i="5"/>
  <c r="P262" i="5"/>
  <c r="O265" i="5"/>
  <c r="P265" i="5"/>
  <c r="L266" i="5"/>
  <c r="L264" i="5" s="1"/>
  <c r="M266" i="5"/>
  <c r="M264" i="5" s="1"/>
  <c r="N266" i="5"/>
  <c r="N264" i="5" s="1"/>
  <c r="O268" i="5"/>
  <c r="P268" i="5"/>
  <c r="L269" i="5"/>
  <c r="L267" i="5" s="1"/>
  <c r="O267" i="5" s="1"/>
  <c r="M269" i="5"/>
  <c r="M267" i="5" s="1"/>
  <c r="P267" i="5" s="1"/>
  <c r="N269" i="5"/>
  <c r="N267" i="5" s="1"/>
  <c r="I271" i="5"/>
  <c r="I260" i="5" s="1"/>
  <c r="J276" i="5"/>
  <c r="L278" i="5"/>
  <c r="O278" i="5" s="1"/>
  <c r="M278" i="5"/>
  <c r="P278" i="5" s="1"/>
  <c r="N278" i="5"/>
  <c r="O281" i="5"/>
  <c r="P281" i="5"/>
  <c r="L282" i="5"/>
  <c r="L280" i="5" s="1"/>
  <c r="O280" i="5" s="1"/>
  <c r="M282" i="5"/>
  <c r="M280" i="5" s="1"/>
  <c r="P280" i="5" s="1"/>
  <c r="N282" i="5"/>
  <c r="N280" i="5" s="1"/>
  <c r="O284" i="5"/>
  <c r="P284" i="5"/>
  <c r="L285" i="5"/>
  <c r="M285" i="5"/>
  <c r="M283" i="5" s="1"/>
  <c r="P283" i="5" s="1"/>
  <c r="N285" i="5"/>
  <c r="N283" i="5" s="1"/>
  <c r="I287" i="5"/>
  <c r="I276" i="5" s="1"/>
  <c r="K276" i="5" s="1"/>
  <c r="I288" i="5"/>
  <c r="I290" i="5"/>
  <c r="K290" i="5" s="1"/>
  <c r="I291" i="5"/>
  <c r="K291" i="5" s="1"/>
  <c r="I293" i="5"/>
  <c r="K293" i="5" s="1"/>
  <c r="I294" i="5"/>
  <c r="K294" i="5" s="1"/>
  <c r="J297" i="5"/>
  <c r="L299" i="5"/>
  <c r="O299" i="5" s="1"/>
  <c r="M299" i="5"/>
  <c r="N299" i="5"/>
  <c r="P299" i="5"/>
  <c r="O302" i="5"/>
  <c r="P302" i="5"/>
  <c r="L303" i="5"/>
  <c r="L301" i="5" s="1"/>
  <c r="M303" i="5"/>
  <c r="N303" i="5"/>
  <c r="N301" i="5" s="1"/>
  <c r="O305" i="5"/>
  <c r="P305" i="5"/>
  <c r="L306" i="5"/>
  <c r="O306" i="5" s="1"/>
  <c r="M306" i="5"/>
  <c r="M304" i="5" s="1"/>
  <c r="P304" i="5" s="1"/>
  <c r="N306" i="5"/>
  <c r="N304" i="5" s="1"/>
  <c r="I309" i="5"/>
  <c r="I297" i="5" s="1"/>
  <c r="I310" i="5"/>
  <c r="K310" i="5" s="1"/>
  <c r="I311" i="5"/>
  <c r="K311" i="5" s="1"/>
  <c r="I312" i="5"/>
  <c r="K312" i="5" s="1"/>
  <c r="J314" i="5"/>
  <c r="L316" i="5"/>
  <c r="O316" i="5" s="1"/>
  <c r="M316" i="5"/>
  <c r="P316" i="5" s="1"/>
  <c r="N316" i="5"/>
  <c r="O319" i="5"/>
  <c r="P319" i="5"/>
  <c r="L320" i="5"/>
  <c r="L318" i="5" s="1"/>
  <c r="O318" i="5" s="1"/>
  <c r="M320" i="5"/>
  <c r="M318" i="5" s="1"/>
  <c r="P318" i="5" s="1"/>
  <c r="N320" i="5"/>
  <c r="O322" i="5"/>
  <c r="P322" i="5"/>
  <c r="L323" i="5"/>
  <c r="L321" i="5" s="1"/>
  <c r="O321" i="5" s="1"/>
  <c r="M323" i="5"/>
  <c r="M321" i="5" s="1"/>
  <c r="P321" i="5" s="1"/>
  <c r="N323" i="5"/>
  <c r="N321" i="5" s="1"/>
  <c r="I325" i="5"/>
  <c r="I314" i="5" s="1"/>
  <c r="K314" i="5" s="1"/>
  <c r="I327" i="5"/>
  <c r="L329" i="5"/>
  <c r="O329" i="5" s="1"/>
  <c r="M329" i="5"/>
  <c r="P329" i="5" s="1"/>
  <c r="N329" i="5"/>
  <c r="O332" i="5"/>
  <c r="P332" i="5"/>
  <c r="L333" i="5"/>
  <c r="L331" i="5" s="1"/>
  <c r="M333" i="5"/>
  <c r="N333" i="5"/>
  <c r="O335" i="5"/>
  <c r="P335" i="5"/>
  <c r="L336" i="5"/>
  <c r="O336" i="5" s="1"/>
  <c r="M336" i="5"/>
  <c r="N336" i="5"/>
  <c r="N334" i="5" s="1"/>
  <c r="D337" i="5"/>
  <c r="I338" i="5"/>
  <c r="J338" i="5"/>
  <c r="I340" i="5"/>
  <c r="J340" i="5"/>
  <c r="J341" i="5"/>
  <c r="J342" i="5"/>
  <c r="J343" i="5"/>
  <c r="L346" i="5"/>
  <c r="O346" i="5" s="1"/>
  <c r="M346" i="5"/>
  <c r="P346" i="5" s="1"/>
  <c r="N346" i="5"/>
  <c r="O349" i="5"/>
  <c r="P349" i="5"/>
  <c r="L350" i="5"/>
  <c r="M350" i="5"/>
  <c r="M348" i="5" s="1"/>
  <c r="N350" i="5"/>
  <c r="O352" i="5"/>
  <c r="P352" i="5"/>
  <c r="L353" i="5"/>
  <c r="M353" i="5"/>
  <c r="M351" i="5" s="1"/>
  <c r="N353" i="5"/>
  <c r="N351" i="5" s="1"/>
  <c r="I355" i="5"/>
  <c r="J358" i="5"/>
  <c r="K358" i="5"/>
  <c r="I359" i="5"/>
  <c r="J359" i="5"/>
  <c r="I360" i="5"/>
  <c r="J360" i="5"/>
  <c r="J361" i="5"/>
  <c r="K361" i="5"/>
  <c r="I362" i="5"/>
  <c r="J362" i="5"/>
  <c r="J355" i="5" s="1"/>
  <c r="J363" i="5"/>
  <c r="K363" i="5"/>
  <c r="I365" i="5"/>
  <c r="J368" i="5"/>
  <c r="K368" i="5"/>
  <c r="I369" i="5"/>
  <c r="J369" i="5"/>
  <c r="I370" i="5"/>
  <c r="J370" i="5"/>
  <c r="J371" i="5"/>
  <c r="K371" i="5"/>
  <c r="I372" i="5"/>
  <c r="J372" i="5"/>
  <c r="J365" i="5" s="1"/>
  <c r="A373" i="5"/>
  <c r="J373" i="5"/>
  <c r="K373" i="5"/>
  <c r="I374" i="5"/>
  <c r="J377" i="5"/>
  <c r="K377" i="5"/>
  <c r="I378" i="5"/>
  <c r="J378" i="5"/>
  <c r="I379" i="5"/>
  <c r="J379" i="5"/>
  <c r="J380" i="5"/>
  <c r="K380" i="5"/>
  <c r="I381" i="5"/>
  <c r="J381" i="5"/>
  <c r="J374" i="5" s="1"/>
  <c r="A382" i="5"/>
  <c r="J382" i="5"/>
  <c r="K382" i="5"/>
  <c r="D384" i="5"/>
  <c r="I385" i="5"/>
  <c r="J385" i="5"/>
  <c r="I388" i="5"/>
  <c r="K388" i="5" s="1"/>
  <c r="J388" i="5"/>
  <c r="L390" i="5"/>
  <c r="M390" i="5"/>
  <c r="P390" i="5" s="1"/>
  <c r="N390" i="5"/>
  <c r="O390" i="5"/>
  <c r="O393" i="5"/>
  <c r="P393" i="5"/>
  <c r="L394" i="5"/>
  <c r="L392" i="5" s="1"/>
  <c r="O392" i="5" s="1"/>
  <c r="M394" i="5"/>
  <c r="M392" i="5" s="1"/>
  <c r="P392" i="5" s="1"/>
  <c r="N394" i="5"/>
  <c r="N392" i="5" s="1"/>
  <c r="O396" i="5"/>
  <c r="P396" i="5"/>
  <c r="L397" i="5"/>
  <c r="L395" i="5" s="1"/>
  <c r="O395" i="5" s="1"/>
  <c r="M397" i="5"/>
  <c r="N397" i="5"/>
  <c r="N395" i="5" s="1"/>
  <c r="K399" i="5"/>
  <c r="K400" i="5"/>
  <c r="I401" i="5"/>
  <c r="K401" i="5" s="1"/>
  <c r="J401" i="5"/>
  <c r="L403" i="5"/>
  <c r="O403" i="5" s="1"/>
  <c r="M403" i="5"/>
  <c r="N403" i="5"/>
  <c r="O406" i="5"/>
  <c r="P406" i="5"/>
  <c r="L407" i="5"/>
  <c r="O407" i="5" s="1"/>
  <c r="M407" i="5"/>
  <c r="M405" i="5" s="1"/>
  <c r="P405" i="5" s="1"/>
  <c r="N407" i="5"/>
  <c r="O409" i="5"/>
  <c r="P409" i="5"/>
  <c r="L410" i="5"/>
  <c r="O410" i="5" s="1"/>
  <c r="M410" i="5"/>
  <c r="M408" i="5" s="1"/>
  <c r="P408" i="5" s="1"/>
  <c r="N410" i="5"/>
  <c r="N408" i="5" s="1"/>
  <c r="K412" i="5"/>
  <c r="K413" i="5"/>
  <c r="L420" i="5"/>
  <c r="M420" i="5"/>
  <c r="P420" i="5" s="1"/>
  <c r="N420" i="5"/>
  <c r="O423" i="5"/>
  <c r="P423" i="5"/>
  <c r="L424" i="5"/>
  <c r="M424" i="5" s="1"/>
  <c r="P424" i="5" s="1"/>
  <c r="N425" i="5"/>
  <c r="N428" i="5"/>
  <c r="N424" i="5" s="1"/>
  <c r="M429" i="5"/>
  <c r="P429" i="5" s="1"/>
  <c r="N429" i="5"/>
  <c r="O430" i="5"/>
  <c r="P430" i="5"/>
  <c r="L431" i="5"/>
  <c r="L429" i="5" s="1"/>
  <c r="O429" i="5" s="1"/>
  <c r="P431" i="5"/>
  <c r="J434" i="5"/>
  <c r="J418" i="5" s="1"/>
  <c r="I435" i="5"/>
  <c r="I433" i="5" s="1"/>
  <c r="I417" i="5" s="1"/>
  <c r="I437" i="5"/>
  <c r="K437" i="5" s="1"/>
  <c r="I438" i="5"/>
  <c r="K438" i="5" s="1"/>
  <c r="I439" i="5"/>
  <c r="K439" i="5" s="1"/>
  <c r="I440" i="5"/>
  <c r="K440" i="5" s="1"/>
  <c r="I441" i="5"/>
  <c r="K441" i="5" s="1"/>
  <c r="J442" i="5"/>
  <c r="J443" i="5"/>
  <c r="L445" i="5"/>
  <c r="M445" i="5"/>
  <c r="M444" i="5" s="1"/>
  <c r="P444" i="5" s="1"/>
  <c r="N445" i="5"/>
  <c r="N444" i="5" s="1"/>
  <c r="O445" i="5"/>
  <c r="M446" i="5"/>
  <c r="P446" i="5" s="1"/>
  <c r="M447" i="5"/>
  <c r="P447" i="5"/>
  <c r="O448" i="5"/>
  <c r="P448" i="5"/>
  <c r="L449" i="5"/>
  <c r="N449" i="5"/>
  <c r="N446" i="5" s="1"/>
  <c r="P449" i="5"/>
  <c r="M454" i="5"/>
  <c r="P454" i="5" s="1"/>
  <c r="N454" i="5"/>
  <c r="O455" i="5"/>
  <c r="P455" i="5"/>
  <c r="L456" i="5"/>
  <c r="L454" i="5" s="1"/>
  <c r="O454" i="5" s="1"/>
  <c r="P456" i="5"/>
  <c r="K458" i="5"/>
  <c r="I460" i="5"/>
  <c r="I442" i="5" s="1"/>
  <c r="K442" i="5" s="1"/>
  <c r="I462" i="5"/>
  <c r="I443" i="5" s="1"/>
  <c r="K443" i="5" s="1"/>
  <c r="I463" i="5"/>
  <c r="I464" i="5"/>
  <c r="I465" i="5"/>
  <c r="J465" i="5"/>
  <c r="I466" i="5"/>
  <c r="J466" i="5"/>
  <c r="L468" i="5"/>
  <c r="O468" i="5" s="1"/>
  <c r="M468" i="5"/>
  <c r="P468" i="5" s="1"/>
  <c r="N468" i="5"/>
  <c r="O471" i="5"/>
  <c r="P471" i="5"/>
  <c r="L472" i="5"/>
  <c r="M472" i="5" s="1"/>
  <c r="M470" i="5" s="1"/>
  <c r="N473" i="5"/>
  <c r="N474" i="5"/>
  <c r="N476" i="5"/>
  <c r="M477" i="5"/>
  <c r="P477" i="5" s="1"/>
  <c r="N477" i="5"/>
  <c r="O478" i="5"/>
  <c r="P478" i="5"/>
  <c r="L479" i="5"/>
  <c r="O479" i="5" s="1"/>
  <c r="P479" i="5"/>
  <c r="I483" i="5"/>
  <c r="K483" i="5" s="1"/>
  <c r="I485" i="5"/>
  <c r="K485" i="5" s="1"/>
  <c r="I487" i="5"/>
  <c r="K487" i="5" s="1"/>
  <c r="I489" i="5"/>
  <c r="K489" i="5" s="1"/>
  <c r="I492" i="5"/>
  <c r="K492" i="5" s="1"/>
  <c r="I495" i="5"/>
  <c r="K495" i="5" s="1"/>
  <c r="I498" i="5"/>
  <c r="K498" i="5" s="1"/>
  <c r="J500" i="5"/>
  <c r="K500" i="5"/>
  <c r="K501" i="5"/>
  <c r="L503" i="5"/>
  <c r="M503" i="5"/>
  <c r="N503" i="5"/>
  <c r="P503" i="5"/>
  <c r="L504" i="5"/>
  <c r="O504" i="5" s="1"/>
  <c r="M504" i="5"/>
  <c r="P504" i="5"/>
  <c r="L505" i="5"/>
  <c r="O505" i="5" s="1"/>
  <c r="M505" i="5"/>
  <c r="P505" i="5" s="1"/>
  <c r="O506" i="5"/>
  <c r="P506" i="5"/>
  <c r="N507" i="5"/>
  <c r="N505" i="5" s="1"/>
  <c r="O507" i="5"/>
  <c r="P507" i="5"/>
  <c r="L512" i="5"/>
  <c r="M512" i="5"/>
  <c r="N512" i="5"/>
  <c r="O512" i="5"/>
  <c r="P512" i="5"/>
  <c r="O513" i="5"/>
  <c r="P513" i="5"/>
  <c r="O514" i="5"/>
  <c r="P514" i="5"/>
  <c r="K516" i="5"/>
  <c r="J517" i="5"/>
  <c r="J501" i="5" s="1"/>
  <c r="K517" i="5"/>
  <c r="L524" i="5"/>
  <c r="M524" i="5"/>
  <c r="P524" i="5" s="1"/>
  <c r="N524" i="5"/>
  <c r="N523" i="5" s="1"/>
  <c r="O524" i="5"/>
  <c r="M525" i="5"/>
  <c r="P525" i="5" s="1"/>
  <c r="M526" i="5"/>
  <c r="P526" i="5" s="1"/>
  <c r="O527" i="5"/>
  <c r="P527" i="5"/>
  <c r="L528" i="5"/>
  <c r="N528" i="5"/>
  <c r="N525" i="5" s="1"/>
  <c r="P528" i="5"/>
  <c r="M533" i="5"/>
  <c r="N533" i="5"/>
  <c r="P533" i="5"/>
  <c r="O534" i="5"/>
  <c r="P534" i="5"/>
  <c r="L535" i="5"/>
  <c r="L533" i="5" s="1"/>
  <c r="O533" i="5" s="1"/>
  <c r="P535" i="5"/>
  <c r="I537" i="5"/>
  <c r="I522" i="5" s="1"/>
  <c r="K522" i="5" s="1"/>
  <c r="I538" i="5"/>
  <c r="K538" i="5" s="1"/>
  <c r="I539" i="5"/>
  <c r="K539" i="5" s="1"/>
  <c r="I540" i="5"/>
  <c r="K540" i="5" s="1"/>
  <c r="I541" i="5"/>
  <c r="K541" i="5" s="1"/>
  <c r="I542" i="5"/>
  <c r="K542" i="5" s="1"/>
  <c r="L545" i="5"/>
  <c r="O545" i="5" s="1"/>
  <c r="O548" i="5"/>
  <c r="P548" i="5"/>
  <c r="L549" i="5"/>
  <c r="O549" i="5" s="1"/>
  <c r="N550" i="5"/>
  <c r="N552" i="5"/>
  <c r="N549" i="5" s="1"/>
  <c r="N553" i="5"/>
  <c r="M555" i="5"/>
  <c r="M545" i="5" s="1"/>
  <c r="N555" i="5"/>
  <c r="N545" i="5" s="1"/>
  <c r="O556" i="5"/>
  <c r="P556" i="5"/>
  <c r="L557" i="5"/>
  <c r="P557" i="5"/>
  <c r="I560" i="5"/>
  <c r="K560" i="5" s="1"/>
  <c r="J560" i="5"/>
  <c r="I561" i="5"/>
  <c r="J561" i="5"/>
  <c r="I568" i="5"/>
  <c r="J568" i="5"/>
  <c r="I569" i="5"/>
  <c r="K569" i="5" s="1"/>
  <c r="J569" i="5"/>
  <c r="I576" i="5"/>
  <c r="I577" i="5"/>
  <c r="J582" i="5"/>
  <c r="J576" i="5" s="1"/>
  <c r="J559" i="5" s="1"/>
  <c r="J543" i="5" s="1"/>
  <c r="J583" i="5"/>
  <c r="J577" i="5" s="1"/>
  <c r="I593" i="5"/>
  <c r="I594" i="5"/>
  <c r="J595" i="5"/>
  <c r="J593" i="5" s="1"/>
  <c r="J592" i="5" s="1"/>
  <c r="J596" i="5"/>
  <c r="J594" i="5" s="1"/>
  <c r="J603" i="5"/>
  <c r="J604" i="5"/>
  <c r="J611" i="5"/>
  <c r="K611" i="5"/>
  <c r="J612" i="5"/>
  <c r="K612" i="5"/>
  <c r="J613" i="5"/>
  <c r="K613" i="5"/>
  <c r="I620" i="5"/>
  <c r="K620" i="5" s="1"/>
  <c r="J620" i="5"/>
  <c r="I621" i="5"/>
  <c r="J621" i="5"/>
  <c r="L630" i="5"/>
  <c r="O630" i="5" s="1"/>
  <c r="M630" i="5"/>
  <c r="P630" i="5" s="1"/>
  <c r="N630" i="5"/>
  <c r="O633" i="5"/>
  <c r="P633" i="5"/>
  <c r="L634" i="5"/>
  <c r="M634" i="5" s="1"/>
  <c r="M632" i="5" s="1"/>
  <c r="N635" i="5"/>
  <c r="N634" i="5" s="1"/>
  <c r="N637" i="5"/>
  <c r="N638" i="5"/>
  <c r="M639" i="5"/>
  <c r="P639" i="5" s="1"/>
  <c r="N639" i="5"/>
  <c r="O640" i="5"/>
  <c r="P640" i="5"/>
  <c r="L641" i="5"/>
  <c r="O641" i="5" s="1"/>
  <c r="P641" i="5"/>
  <c r="I643" i="5"/>
  <c r="K643" i="5" s="1"/>
  <c r="I644" i="5"/>
  <c r="K644" i="5" s="1"/>
  <c r="J645" i="5"/>
  <c r="K645" i="5"/>
  <c r="J646" i="5"/>
  <c r="K646" i="5"/>
  <c r="I647" i="5"/>
  <c r="J647" i="5"/>
  <c r="J648" i="5"/>
  <c r="K648" i="5"/>
  <c r="I649" i="5"/>
  <c r="J649" i="5"/>
  <c r="J650" i="5"/>
  <c r="K650" i="5"/>
  <c r="I651" i="5"/>
  <c r="J651" i="5"/>
  <c r="J628" i="5" s="1"/>
  <c r="A652" i="5"/>
  <c r="J652" i="5"/>
  <c r="K652" i="5"/>
  <c r="L656" i="5"/>
  <c r="M656" i="5"/>
  <c r="P656" i="5" s="1"/>
  <c r="N656" i="5"/>
  <c r="M657" i="5"/>
  <c r="P657" i="5" s="1"/>
  <c r="M658" i="5"/>
  <c r="P658" i="5" s="1"/>
  <c r="N658" i="5"/>
  <c r="O659" i="5"/>
  <c r="P659" i="5"/>
  <c r="L660" i="5"/>
  <c r="L658" i="5" s="1"/>
  <c r="O658" i="5" s="1"/>
  <c r="N660" i="5"/>
  <c r="N657" i="5" s="1"/>
  <c r="N655" i="5" s="1"/>
  <c r="P660" i="5"/>
  <c r="L665" i="5"/>
  <c r="O665" i="5" s="1"/>
  <c r="M665" i="5"/>
  <c r="N665" i="5"/>
  <c r="P665" i="5"/>
  <c r="O666" i="5"/>
  <c r="P666" i="5"/>
  <c r="O667" i="5"/>
  <c r="P667" i="5"/>
  <c r="I669" i="5"/>
  <c r="K674" i="5" s="1"/>
  <c r="I670" i="5"/>
  <c r="K670" i="5" s="1"/>
  <c r="I671" i="5"/>
  <c r="K671" i="5" s="1"/>
  <c r="J675" i="5"/>
  <c r="J669" i="5" s="1"/>
  <c r="J654" i="5" s="1"/>
  <c r="I678" i="5"/>
  <c r="K678" i="5" s="1"/>
  <c r="J679" i="5"/>
  <c r="J678" i="5" s="1"/>
  <c r="L686" i="5"/>
  <c r="O686" i="5" s="1"/>
  <c r="M686" i="5"/>
  <c r="P686" i="5" s="1"/>
  <c r="N686" i="5"/>
  <c r="M687" i="5"/>
  <c r="M685" i="5" s="1"/>
  <c r="P685" i="5" s="1"/>
  <c r="P687" i="5"/>
  <c r="M688" i="5"/>
  <c r="P688" i="5" s="1"/>
  <c r="L690" i="5"/>
  <c r="N690" i="5"/>
  <c r="N687" i="5" s="1"/>
  <c r="N685" i="5" s="1"/>
  <c r="P690" i="5"/>
  <c r="L695" i="5"/>
  <c r="O695" i="5" s="1"/>
  <c r="M695" i="5"/>
  <c r="P695" i="5" s="1"/>
  <c r="N695" i="5"/>
  <c r="O696" i="5"/>
  <c r="P696" i="5"/>
  <c r="O697" i="5"/>
  <c r="P697" i="5"/>
  <c r="I699" i="5"/>
  <c r="K699" i="5" s="1"/>
  <c r="J699" i="5"/>
  <c r="I700" i="5"/>
  <c r="K700" i="5" s="1"/>
  <c r="J700" i="5"/>
  <c r="I701" i="5"/>
  <c r="K701" i="5" s="1"/>
  <c r="J701" i="5"/>
  <c r="I704" i="5"/>
  <c r="I707" i="5"/>
  <c r="I708" i="5"/>
  <c r="K708" i="5" s="1"/>
  <c r="J708" i="5"/>
  <c r="J718" i="5"/>
  <c r="J719" i="5"/>
  <c r="I720" i="5"/>
  <c r="K720" i="5" s="1"/>
  <c r="J720" i="5"/>
  <c r="I721" i="5"/>
  <c r="K721" i="5" s="1"/>
  <c r="I722" i="5"/>
  <c r="K722" i="5" s="1"/>
  <c r="I723" i="5"/>
  <c r="K723" i="5" s="1"/>
  <c r="J723" i="5"/>
  <c r="J724" i="5"/>
  <c r="I725" i="5"/>
  <c r="K725" i="5" s="1"/>
  <c r="J725" i="5"/>
  <c r="I726" i="5"/>
  <c r="K726" i="5" s="1"/>
  <c r="J726" i="5"/>
  <c r="J727" i="5"/>
  <c r="I728" i="5"/>
  <c r="K728" i="5" s="1"/>
  <c r="J728" i="5"/>
  <c r="I729" i="5"/>
  <c r="K729" i="5" s="1"/>
  <c r="J729" i="5"/>
  <c r="J736" i="5"/>
  <c r="K736" i="5"/>
  <c r="L738" i="5"/>
  <c r="M738" i="5"/>
  <c r="N738" i="5"/>
  <c r="O738" i="5"/>
  <c r="L739" i="5"/>
  <c r="O739" i="5" s="1"/>
  <c r="M739" i="5"/>
  <c r="P739" i="5" s="1"/>
  <c r="L740" i="5"/>
  <c r="M740" i="5"/>
  <c r="P740" i="5" s="1"/>
  <c r="O740" i="5"/>
  <c r="O741" i="5"/>
  <c r="P741" i="5"/>
  <c r="N742" i="5"/>
  <c r="N740" i="5" s="1"/>
  <c r="O742" i="5"/>
  <c r="P742" i="5"/>
  <c r="L747" i="5"/>
  <c r="O747" i="5" s="1"/>
  <c r="M747" i="5"/>
  <c r="P747" i="5" s="1"/>
  <c r="N747" i="5"/>
  <c r="O748" i="5"/>
  <c r="P748" i="5"/>
  <c r="O749" i="5"/>
  <c r="P749" i="5"/>
  <c r="J753" i="5"/>
  <c r="K753" i="5"/>
  <c r="L755" i="5"/>
  <c r="O755" i="5" s="1"/>
  <c r="M755" i="5"/>
  <c r="P755" i="5" s="1"/>
  <c r="N755" i="5"/>
  <c r="L756" i="5"/>
  <c r="O756" i="5" s="1"/>
  <c r="M756" i="5"/>
  <c r="P756" i="5" s="1"/>
  <c r="L757" i="5"/>
  <c r="O757" i="5" s="1"/>
  <c r="M757" i="5"/>
  <c r="P757" i="5" s="1"/>
  <c r="O758" i="5"/>
  <c r="P758" i="5"/>
  <c r="N759" i="5"/>
  <c r="N757" i="5" s="1"/>
  <c r="O759" i="5"/>
  <c r="P759" i="5"/>
  <c r="L764" i="5"/>
  <c r="M764" i="5"/>
  <c r="P764" i="5" s="1"/>
  <c r="N764" i="5"/>
  <c r="O764" i="5"/>
  <c r="O765" i="5"/>
  <c r="P765" i="5"/>
  <c r="O766" i="5"/>
  <c r="P766" i="5"/>
  <c r="J769" i="5"/>
  <c r="K769" i="5"/>
  <c r="L771" i="5"/>
  <c r="L770" i="5" s="1"/>
  <c r="O770" i="5" s="1"/>
  <c r="M771" i="5"/>
  <c r="N771" i="5"/>
  <c r="O771" i="5"/>
  <c r="P771" i="5"/>
  <c r="L772" i="5"/>
  <c r="O772" i="5" s="1"/>
  <c r="M772" i="5"/>
  <c r="P772" i="5"/>
  <c r="L773" i="5"/>
  <c r="O773" i="5" s="1"/>
  <c r="M773" i="5"/>
  <c r="P773" i="5" s="1"/>
  <c r="O774" i="5"/>
  <c r="P774" i="5"/>
  <c r="N775" i="5"/>
  <c r="N773" i="5" s="1"/>
  <c r="O775" i="5"/>
  <c r="P775" i="5"/>
  <c r="L780" i="5"/>
  <c r="O780" i="5" s="1"/>
  <c r="M780" i="5"/>
  <c r="P780" i="5" s="1"/>
  <c r="N780" i="5"/>
  <c r="O781" i="5"/>
  <c r="P781" i="5"/>
  <c r="O782" i="5"/>
  <c r="P782" i="5"/>
  <c r="L787" i="5"/>
  <c r="M787" i="5"/>
  <c r="P787" i="5" s="1"/>
  <c r="N787" i="5"/>
  <c r="N786" i="5" s="1"/>
  <c r="M788" i="5"/>
  <c r="P788" i="5" s="1"/>
  <c r="M789" i="5"/>
  <c r="P789" i="5" s="1"/>
  <c r="O790" i="5"/>
  <c r="P790" i="5"/>
  <c r="L791" i="5"/>
  <c r="O791" i="5" s="1"/>
  <c r="N791" i="5"/>
  <c r="N788" i="5" s="1"/>
  <c r="P791" i="5"/>
  <c r="L796" i="5"/>
  <c r="M796" i="5"/>
  <c r="P796" i="5" s="1"/>
  <c r="N796" i="5"/>
  <c r="O796" i="5"/>
  <c r="O797" i="5"/>
  <c r="P797" i="5"/>
  <c r="O798" i="5"/>
  <c r="P798" i="5"/>
  <c r="I800" i="5"/>
  <c r="J800" i="5"/>
  <c r="J785" i="5" s="1"/>
  <c r="J801" i="5"/>
  <c r="K802" i="5"/>
  <c r="J804" i="5"/>
  <c r="K804" i="5"/>
  <c r="L806" i="5"/>
  <c r="L805" i="5" s="1"/>
  <c r="O805" i="5" s="1"/>
  <c r="M806" i="5"/>
  <c r="P806" i="5" s="1"/>
  <c r="N806" i="5"/>
  <c r="N805" i="5" s="1"/>
  <c r="L807" i="5"/>
  <c r="M807" i="5"/>
  <c r="O807" i="5"/>
  <c r="P807" i="5"/>
  <c r="L808" i="5"/>
  <c r="O808" i="5" s="1"/>
  <c r="M808" i="5"/>
  <c r="P808" i="5"/>
  <c r="O809" i="5"/>
  <c r="P809" i="5"/>
  <c r="N810" i="5"/>
  <c r="N807" i="5" s="1"/>
  <c r="O810" i="5"/>
  <c r="P810" i="5"/>
  <c r="L815" i="5"/>
  <c r="O815" i="5" s="1"/>
  <c r="M815" i="5"/>
  <c r="P815" i="5" s="1"/>
  <c r="N815" i="5"/>
  <c r="O816" i="5"/>
  <c r="P816" i="5"/>
  <c r="O817" i="5"/>
  <c r="P817" i="5"/>
  <c r="H820" i="5"/>
  <c r="I821" i="5"/>
  <c r="J821" i="5"/>
  <c r="I822" i="5"/>
  <c r="J822" i="5"/>
  <c r="I823" i="5"/>
  <c r="J823" i="5"/>
  <c r="I824" i="5"/>
  <c r="J824" i="5"/>
  <c r="I825" i="5"/>
  <c r="K825" i="5" s="1"/>
  <c r="J825" i="5"/>
  <c r="I826" i="5"/>
  <c r="K826" i="5" s="1"/>
  <c r="J826" i="5"/>
  <c r="I827" i="5"/>
  <c r="J827" i="5"/>
  <c r="I828" i="5"/>
  <c r="J828" i="5"/>
  <c r="L22" i="4"/>
  <c r="M22" i="4"/>
  <c r="N22" i="4"/>
  <c r="L25" i="4"/>
  <c r="M25" i="4"/>
  <c r="P25" i="4" s="1"/>
  <c r="N25" i="4"/>
  <c r="N15" i="4" s="1"/>
  <c r="O25" i="4"/>
  <c r="L32" i="4"/>
  <c r="O32" i="4" s="1"/>
  <c r="M32" i="4"/>
  <c r="N32" i="4"/>
  <c r="N29" i="4" s="1"/>
  <c r="P32" i="4"/>
  <c r="L35" i="4"/>
  <c r="L29" i="4" s="1"/>
  <c r="M35" i="4"/>
  <c r="N35" i="4"/>
  <c r="M36" i="4"/>
  <c r="P36" i="4" s="1"/>
  <c r="N36" i="4"/>
  <c r="L42" i="4"/>
  <c r="M42" i="4"/>
  <c r="P42" i="4" s="1"/>
  <c r="N42" i="4"/>
  <c r="O45" i="4"/>
  <c r="P45" i="4"/>
  <c r="L46" i="4"/>
  <c r="L44" i="4" s="1"/>
  <c r="M46" i="4"/>
  <c r="M44" i="4" s="1"/>
  <c r="N46" i="4"/>
  <c r="N44" i="4" s="1"/>
  <c r="O48" i="4"/>
  <c r="P48" i="4"/>
  <c r="L49" i="4"/>
  <c r="L47" i="4" s="1"/>
  <c r="O47" i="4" s="1"/>
  <c r="M49" i="4"/>
  <c r="M47" i="4" s="1"/>
  <c r="P47" i="4" s="1"/>
  <c r="N49" i="4"/>
  <c r="N47" i="4" s="1"/>
  <c r="L54" i="4"/>
  <c r="M54" i="4"/>
  <c r="N54" i="4"/>
  <c r="O54" i="4"/>
  <c r="O57" i="4"/>
  <c r="P57" i="4"/>
  <c r="L58" i="4"/>
  <c r="M58" i="4"/>
  <c r="M56" i="4" s="1"/>
  <c r="N58" i="4"/>
  <c r="O60" i="4"/>
  <c r="P60" i="4"/>
  <c r="L61" i="4"/>
  <c r="O61" i="4" s="1"/>
  <c r="M61" i="4"/>
  <c r="M59" i="4" s="1"/>
  <c r="P59" i="4" s="1"/>
  <c r="N61" i="4"/>
  <c r="N59" i="4" s="1"/>
  <c r="L67" i="4"/>
  <c r="M67" i="4"/>
  <c r="N67" i="4"/>
  <c r="O70" i="4"/>
  <c r="P70" i="4"/>
  <c r="L71" i="4"/>
  <c r="L69" i="4" s="1"/>
  <c r="O69" i="4" s="1"/>
  <c r="M71" i="4"/>
  <c r="M69" i="4" s="1"/>
  <c r="P69" i="4" s="1"/>
  <c r="N71" i="4"/>
  <c r="N69" i="4" s="1"/>
  <c r="O73" i="4"/>
  <c r="P73" i="4"/>
  <c r="L74" i="4"/>
  <c r="O74" i="4" s="1"/>
  <c r="M74" i="4"/>
  <c r="P74" i="4" s="1"/>
  <c r="N74" i="4"/>
  <c r="N72" i="4" s="1"/>
  <c r="J76" i="4"/>
  <c r="J64" i="4" s="1"/>
  <c r="J77" i="4"/>
  <c r="J65" i="4" s="1"/>
  <c r="I78" i="4"/>
  <c r="K78" i="4" s="1"/>
  <c r="I79" i="4"/>
  <c r="I80" i="4"/>
  <c r="K80" i="4" s="1"/>
  <c r="I81" i="4"/>
  <c r="K81" i="4" s="1"/>
  <c r="I82" i="4"/>
  <c r="K82" i="4" s="1"/>
  <c r="I83" i="4"/>
  <c r="K83" i="4" s="1"/>
  <c r="I84" i="4"/>
  <c r="K84" i="4" s="1"/>
  <c r="L89" i="4"/>
  <c r="M89" i="4"/>
  <c r="N89" i="4"/>
  <c r="O92" i="4"/>
  <c r="P92" i="4"/>
  <c r="L93" i="4"/>
  <c r="M93" i="4"/>
  <c r="M91" i="4" s="1"/>
  <c r="N93" i="4"/>
  <c r="O95" i="4"/>
  <c r="P95" i="4"/>
  <c r="L96" i="4"/>
  <c r="M96" i="4"/>
  <c r="P96" i="4" s="1"/>
  <c r="N96" i="4"/>
  <c r="N94" i="4" s="1"/>
  <c r="I98" i="4"/>
  <c r="J98" i="4"/>
  <c r="J86" i="4" s="1"/>
  <c r="I99" i="4"/>
  <c r="K99" i="4" s="1"/>
  <c r="J99" i="4"/>
  <c r="J87" i="4" s="1"/>
  <c r="I100" i="4"/>
  <c r="J100" i="4"/>
  <c r="I102" i="4"/>
  <c r="K102" i="4" s="1"/>
  <c r="I103" i="4"/>
  <c r="K103" i="4" s="1"/>
  <c r="I104" i="4"/>
  <c r="K104" i="4" s="1"/>
  <c r="I106" i="4"/>
  <c r="K106" i="4" s="1"/>
  <c r="I107" i="4"/>
  <c r="K107" i="4" s="1"/>
  <c r="I109" i="4"/>
  <c r="K109" i="4" s="1"/>
  <c r="I110" i="4"/>
  <c r="K110" i="4" s="1"/>
  <c r="I111" i="4"/>
  <c r="K111" i="4" s="1"/>
  <c r="J111" i="4"/>
  <c r="J112" i="4"/>
  <c r="I113" i="4"/>
  <c r="K113" i="4" s="1"/>
  <c r="I114" i="4"/>
  <c r="K114" i="4" s="1"/>
  <c r="I115" i="4"/>
  <c r="K115" i="4" s="1"/>
  <c r="I116" i="4"/>
  <c r="K116" i="4" s="1"/>
  <c r="L120" i="4"/>
  <c r="O120" i="4" s="1"/>
  <c r="M120" i="4"/>
  <c r="N120" i="4"/>
  <c r="O123" i="4"/>
  <c r="P123" i="4"/>
  <c r="L124" i="4"/>
  <c r="L122" i="4" s="1"/>
  <c r="O122" i="4" s="1"/>
  <c r="M124" i="4"/>
  <c r="M122" i="4" s="1"/>
  <c r="P122" i="4" s="1"/>
  <c r="N124" i="4"/>
  <c r="N122" i="4" s="1"/>
  <c r="O126" i="4"/>
  <c r="P126" i="4"/>
  <c r="L127" i="4"/>
  <c r="L125" i="4" s="1"/>
  <c r="O125" i="4" s="1"/>
  <c r="M127" i="4"/>
  <c r="M125" i="4" s="1"/>
  <c r="P125" i="4" s="1"/>
  <c r="N127" i="4"/>
  <c r="N125" i="4" s="1"/>
  <c r="J130" i="4"/>
  <c r="L133" i="4"/>
  <c r="M133" i="4"/>
  <c r="N133" i="4"/>
  <c r="P133" i="4"/>
  <c r="O136" i="4"/>
  <c r="P136" i="4"/>
  <c r="L137" i="4"/>
  <c r="L135" i="4" s="1"/>
  <c r="O135" i="4" s="1"/>
  <c r="M137" i="4"/>
  <c r="M135" i="4" s="1"/>
  <c r="P135" i="4" s="1"/>
  <c r="N137" i="4"/>
  <c r="N135" i="4" s="1"/>
  <c r="O139" i="4"/>
  <c r="P139" i="4"/>
  <c r="L140" i="4"/>
  <c r="M140" i="4"/>
  <c r="P140" i="4" s="1"/>
  <c r="N140" i="4"/>
  <c r="N138" i="4" s="1"/>
  <c r="I144" i="4"/>
  <c r="K144" i="4" s="1"/>
  <c r="I145" i="4"/>
  <c r="I143" i="4" s="1"/>
  <c r="I146" i="4"/>
  <c r="K146" i="4" s="1"/>
  <c r="J148" i="4"/>
  <c r="L150" i="4"/>
  <c r="O150" i="4" s="1"/>
  <c r="M150" i="4"/>
  <c r="N150" i="4"/>
  <c r="O153" i="4"/>
  <c r="P153" i="4"/>
  <c r="L154" i="4"/>
  <c r="L152" i="4" s="1"/>
  <c r="O152" i="4" s="1"/>
  <c r="M154" i="4"/>
  <c r="P154" i="4" s="1"/>
  <c r="N154" i="4"/>
  <c r="O156" i="4"/>
  <c r="P156" i="4"/>
  <c r="L157" i="4"/>
  <c r="M157" i="4"/>
  <c r="P157" i="4" s="1"/>
  <c r="N157" i="4"/>
  <c r="N155" i="4" s="1"/>
  <c r="I159" i="4"/>
  <c r="I148" i="4" s="1"/>
  <c r="K148" i="4" s="1"/>
  <c r="L166" i="4"/>
  <c r="M166" i="4"/>
  <c r="N166" i="4"/>
  <c r="P166" i="4"/>
  <c r="O169" i="4"/>
  <c r="P169" i="4"/>
  <c r="L170" i="4"/>
  <c r="M170" i="4"/>
  <c r="M168" i="4" s="1"/>
  <c r="N170" i="4"/>
  <c r="O172" i="4"/>
  <c r="P172" i="4"/>
  <c r="L173" i="4"/>
  <c r="M173" i="4"/>
  <c r="P173" i="4" s="1"/>
  <c r="N173" i="4"/>
  <c r="N171" i="4" s="1"/>
  <c r="J174" i="4"/>
  <c r="J164" i="4" s="1"/>
  <c r="I176" i="4"/>
  <c r="K176" i="4" s="1"/>
  <c r="J177" i="4"/>
  <c r="L182" i="4"/>
  <c r="M182" i="4"/>
  <c r="N182" i="4"/>
  <c r="O185" i="4"/>
  <c r="P185" i="4"/>
  <c r="L186" i="4"/>
  <c r="M186" i="4"/>
  <c r="M184" i="4" s="1"/>
  <c r="N186" i="4"/>
  <c r="O188" i="4"/>
  <c r="P188" i="4"/>
  <c r="L189" i="4"/>
  <c r="M189" i="4"/>
  <c r="P189" i="4" s="1"/>
  <c r="N189" i="4"/>
  <c r="N187" i="4" s="1"/>
  <c r="J190" i="4"/>
  <c r="L191" i="4"/>
  <c r="O191" i="4" s="1"/>
  <c r="P191" i="4"/>
  <c r="I193" i="4"/>
  <c r="J194" i="4"/>
  <c r="J197" i="4"/>
  <c r="N198" i="4"/>
  <c r="P198" i="4"/>
  <c r="L199" i="4"/>
  <c r="L200" i="4"/>
  <c r="L201" i="4"/>
  <c r="L202" i="4"/>
  <c r="I204" i="4"/>
  <c r="K206" i="4"/>
  <c r="K207" i="4"/>
  <c r="J208" i="4"/>
  <c r="N209" i="4"/>
  <c r="P209" i="4"/>
  <c r="L210" i="4"/>
  <c r="L211" i="4"/>
  <c r="L212" i="4"/>
  <c r="I214" i="4"/>
  <c r="K214" i="4" s="1"/>
  <c r="I215" i="4"/>
  <c r="I208" i="4" s="1"/>
  <c r="K208" i="4" s="1"/>
  <c r="J216" i="4"/>
  <c r="N217" i="4"/>
  <c r="P217" i="4"/>
  <c r="L218" i="4"/>
  <c r="L219" i="4"/>
  <c r="L220" i="4"/>
  <c r="I223" i="4"/>
  <c r="K223" i="4" s="1"/>
  <c r="I224" i="4"/>
  <c r="K224" i="4" s="1"/>
  <c r="I225" i="4"/>
  <c r="K225" i="4" s="1"/>
  <c r="N228" i="4"/>
  <c r="N229" i="4"/>
  <c r="N230" i="4"/>
  <c r="N231" i="4"/>
  <c r="J233" i="4"/>
  <c r="I235" i="4"/>
  <c r="J235" i="4"/>
  <c r="K235" i="4"/>
  <c r="I236" i="4"/>
  <c r="J236" i="4"/>
  <c r="K236" i="4"/>
  <c r="J237" i="4"/>
  <c r="J226" i="4" s="1"/>
  <c r="J180" i="4" s="1"/>
  <c r="N238" i="4"/>
  <c r="P238" i="4"/>
  <c r="L239" i="4"/>
  <c r="L240" i="4"/>
  <c r="L241" i="4"/>
  <c r="L242" i="4"/>
  <c r="I244" i="4"/>
  <c r="I237" i="4" s="1"/>
  <c r="K237" i="4" s="1"/>
  <c r="K246" i="4"/>
  <c r="K247" i="4"/>
  <c r="J248" i="4"/>
  <c r="N249" i="4"/>
  <c r="P249" i="4"/>
  <c r="L250" i="4"/>
  <c r="L251" i="4"/>
  <c r="L252" i="4"/>
  <c r="L253" i="4"/>
  <c r="I255" i="4"/>
  <c r="K257" i="4"/>
  <c r="K258" i="4"/>
  <c r="J260" i="4"/>
  <c r="L262" i="4"/>
  <c r="M262" i="4"/>
  <c r="P262" i="4" s="1"/>
  <c r="N262" i="4"/>
  <c r="O265" i="4"/>
  <c r="P265" i="4"/>
  <c r="L266" i="4"/>
  <c r="M266" i="4"/>
  <c r="M264" i="4" s="1"/>
  <c r="N266" i="4"/>
  <c r="O268" i="4"/>
  <c r="P268" i="4"/>
  <c r="L269" i="4"/>
  <c r="L267" i="4" s="1"/>
  <c r="O267" i="4" s="1"/>
  <c r="M269" i="4"/>
  <c r="M267" i="4" s="1"/>
  <c r="P267" i="4" s="1"/>
  <c r="N269" i="4"/>
  <c r="N267" i="4" s="1"/>
  <c r="I271" i="4"/>
  <c r="K271" i="4" s="1"/>
  <c r="J276" i="4"/>
  <c r="L278" i="4"/>
  <c r="M278" i="4"/>
  <c r="N278" i="4"/>
  <c r="O278" i="4"/>
  <c r="O281" i="4"/>
  <c r="P281" i="4"/>
  <c r="L282" i="4"/>
  <c r="M282" i="4"/>
  <c r="N282" i="4"/>
  <c r="O284" i="4"/>
  <c r="P284" i="4"/>
  <c r="L285" i="4"/>
  <c r="M285" i="4"/>
  <c r="N285" i="4"/>
  <c r="N283" i="4" s="1"/>
  <c r="I287" i="4"/>
  <c r="K287" i="4" s="1"/>
  <c r="I288" i="4"/>
  <c r="I290" i="4"/>
  <c r="K290" i="4" s="1"/>
  <c r="I291" i="4"/>
  <c r="K291" i="4" s="1"/>
  <c r="I293" i="4"/>
  <c r="K293" i="4" s="1"/>
  <c r="I294" i="4"/>
  <c r="K294" i="4" s="1"/>
  <c r="J297" i="4"/>
  <c r="L299" i="4"/>
  <c r="M299" i="4"/>
  <c r="N299" i="4"/>
  <c r="O302" i="4"/>
  <c r="P302" i="4"/>
  <c r="L303" i="4"/>
  <c r="M303" i="4"/>
  <c r="N303" i="4"/>
  <c r="O305" i="4"/>
  <c r="P305" i="4"/>
  <c r="L306" i="4"/>
  <c r="M306" i="4"/>
  <c r="P306" i="4" s="1"/>
  <c r="N306" i="4"/>
  <c r="N304" i="4" s="1"/>
  <c r="I309" i="4"/>
  <c r="I297" i="4" s="1"/>
  <c r="K297" i="4" s="1"/>
  <c r="I310" i="4"/>
  <c r="K310" i="4" s="1"/>
  <c r="I311" i="4"/>
  <c r="K311" i="4" s="1"/>
  <c r="I312" i="4"/>
  <c r="K312" i="4" s="1"/>
  <c r="J314" i="4"/>
  <c r="L316" i="4"/>
  <c r="M316" i="4"/>
  <c r="P316" i="4" s="1"/>
  <c r="N316" i="4"/>
  <c r="O316" i="4"/>
  <c r="O319" i="4"/>
  <c r="P319" i="4"/>
  <c r="L320" i="4"/>
  <c r="M320" i="4"/>
  <c r="M318" i="4" s="1"/>
  <c r="P318" i="4" s="1"/>
  <c r="N320" i="4"/>
  <c r="N318" i="4" s="1"/>
  <c r="O322" i="4"/>
  <c r="P322" i="4"/>
  <c r="L323" i="4"/>
  <c r="O323" i="4" s="1"/>
  <c r="M323" i="4"/>
  <c r="M321" i="4" s="1"/>
  <c r="P321" i="4" s="1"/>
  <c r="N323" i="4"/>
  <c r="N321" i="4" s="1"/>
  <c r="I325" i="4"/>
  <c r="K325" i="4" s="1"/>
  <c r="I327" i="4"/>
  <c r="L329" i="4"/>
  <c r="O329" i="4" s="1"/>
  <c r="M329" i="4"/>
  <c r="P329" i="4" s="1"/>
  <c r="N329" i="4"/>
  <c r="O332" i="4"/>
  <c r="P332" i="4"/>
  <c r="L333" i="4"/>
  <c r="L331" i="4" s="1"/>
  <c r="M333" i="4"/>
  <c r="M331" i="4" s="1"/>
  <c r="N333" i="4"/>
  <c r="O335" i="4"/>
  <c r="P335" i="4"/>
  <c r="L336" i="4"/>
  <c r="L334" i="4" s="1"/>
  <c r="O334" i="4" s="1"/>
  <c r="M336" i="4"/>
  <c r="M334" i="4" s="1"/>
  <c r="P334" i="4" s="1"/>
  <c r="N336" i="4"/>
  <c r="N334" i="4" s="1"/>
  <c r="D337" i="4"/>
  <c r="I338" i="4"/>
  <c r="J338" i="4"/>
  <c r="I340" i="4"/>
  <c r="J340" i="4"/>
  <c r="J341" i="4"/>
  <c r="J342" i="4"/>
  <c r="J343" i="4"/>
  <c r="L346" i="4"/>
  <c r="O346" i="4" s="1"/>
  <c r="M346" i="4"/>
  <c r="N346" i="4"/>
  <c r="O349" i="4"/>
  <c r="P349" i="4"/>
  <c r="L350" i="4"/>
  <c r="L348" i="4" s="1"/>
  <c r="M350" i="4"/>
  <c r="N350" i="4"/>
  <c r="O352" i="4"/>
  <c r="P352" i="4"/>
  <c r="L353" i="4"/>
  <c r="L351" i="4" s="1"/>
  <c r="M353" i="4"/>
  <c r="N353" i="4"/>
  <c r="I355" i="4"/>
  <c r="J358" i="4"/>
  <c r="K358" i="4"/>
  <c r="I359" i="4"/>
  <c r="J359" i="4"/>
  <c r="I360" i="4"/>
  <c r="J360" i="4"/>
  <c r="J361" i="4"/>
  <c r="K361" i="4"/>
  <c r="I362" i="4"/>
  <c r="J362" i="4"/>
  <c r="J355" i="4" s="1"/>
  <c r="J363" i="4"/>
  <c r="K363" i="4"/>
  <c r="I365" i="4"/>
  <c r="J368" i="4"/>
  <c r="K368" i="4"/>
  <c r="I369" i="4"/>
  <c r="J369" i="4"/>
  <c r="I370" i="4"/>
  <c r="J370" i="4"/>
  <c r="J371" i="4"/>
  <c r="K371" i="4"/>
  <c r="I372" i="4"/>
  <c r="J372" i="4"/>
  <c r="J365" i="4" s="1"/>
  <c r="A373" i="4"/>
  <c r="J373" i="4"/>
  <c r="K373" i="4"/>
  <c r="I374" i="4"/>
  <c r="J377" i="4"/>
  <c r="K377" i="4"/>
  <c r="I378" i="4"/>
  <c r="J378" i="4"/>
  <c r="I379" i="4"/>
  <c r="J379" i="4"/>
  <c r="J380" i="4"/>
  <c r="K380" i="4"/>
  <c r="I381" i="4"/>
  <c r="J381" i="4"/>
  <c r="J374" i="4" s="1"/>
  <c r="A382" i="4"/>
  <c r="J382" i="4"/>
  <c r="K382" i="4"/>
  <c r="D384" i="4"/>
  <c r="I385" i="4"/>
  <c r="J385" i="4"/>
  <c r="I388" i="4"/>
  <c r="K388" i="4" s="1"/>
  <c r="J388" i="4"/>
  <c r="L390" i="4"/>
  <c r="M390" i="4"/>
  <c r="N390" i="4"/>
  <c r="P390" i="4"/>
  <c r="O393" i="4"/>
  <c r="P393" i="4"/>
  <c r="L394" i="4"/>
  <c r="M394" i="4"/>
  <c r="N394" i="4"/>
  <c r="N392" i="4" s="1"/>
  <c r="O396" i="4"/>
  <c r="P396" i="4"/>
  <c r="L397" i="4"/>
  <c r="O397" i="4" s="1"/>
  <c r="M397" i="4"/>
  <c r="M395" i="4" s="1"/>
  <c r="P395" i="4" s="1"/>
  <c r="N397" i="4"/>
  <c r="N395" i="4" s="1"/>
  <c r="K399" i="4"/>
  <c r="K400" i="4"/>
  <c r="I401" i="4"/>
  <c r="K401" i="4" s="1"/>
  <c r="J401" i="4"/>
  <c r="L403" i="4"/>
  <c r="M403" i="4"/>
  <c r="P403" i="4" s="1"/>
  <c r="N403" i="4"/>
  <c r="O403" i="4"/>
  <c r="O406" i="4"/>
  <c r="P406" i="4"/>
  <c r="L407" i="4"/>
  <c r="M407" i="4"/>
  <c r="P407" i="4" s="1"/>
  <c r="N407" i="4"/>
  <c r="N405" i="4" s="1"/>
  <c r="O409" i="4"/>
  <c r="P409" i="4"/>
  <c r="L410" i="4"/>
  <c r="L408" i="4" s="1"/>
  <c r="O408" i="4" s="1"/>
  <c r="M410" i="4"/>
  <c r="M408" i="4" s="1"/>
  <c r="P408" i="4" s="1"/>
  <c r="N410" i="4"/>
  <c r="N408" i="4" s="1"/>
  <c r="K412" i="4"/>
  <c r="K413" i="4"/>
  <c r="L420" i="4"/>
  <c r="O420" i="4" s="1"/>
  <c r="M420" i="4"/>
  <c r="N420" i="4"/>
  <c r="P420" i="4"/>
  <c r="O423" i="4"/>
  <c r="P423" i="4"/>
  <c r="L424" i="4"/>
  <c r="M424" i="4" s="1"/>
  <c r="P424" i="4" s="1"/>
  <c r="N424" i="4"/>
  <c r="M429" i="4"/>
  <c r="P429" i="4" s="1"/>
  <c r="N429" i="4"/>
  <c r="O430" i="4"/>
  <c r="P430" i="4"/>
  <c r="L431" i="4"/>
  <c r="L429" i="4" s="1"/>
  <c r="O429" i="4" s="1"/>
  <c r="P431" i="4"/>
  <c r="J434" i="4"/>
  <c r="J418" i="4" s="1"/>
  <c r="I435" i="4"/>
  <c r="I433" i="4" s="1"/>
  <c r="I417" i="4" s="1"/>
  <c r="I437" i="4"/>
  <c r="K437" i="4" s="1"/>
  <c r="I438" i="4"/>
  <c r="K438" i="4" s="1"/>
  <c r="I439" i="4"/>
  <c r="K439" i="4" s="1"/>
  <c r="I440" i="4"/>
  <c r="K440" i="4" s="1"/>
  <c r="I441" i="4"/>
  <c r="K441" i="4" s="1"/>
  <c r="J442" i="4"/>
  <c r="J443" i="4"/>
  <c r="N444" i="4"/>
  <c r="L445" i="4"/>
  <c r="M445" i="4"/>
  <c r="P445" i="4" s="1"/>
  <c r="N445" i="4"/>
  <c r="O445" i="4"/>
  <c r="N447" i="4"/>
  <c r="O448" i="4"/>
  <c r="P448" i="4"/>
  <c r="L449" i="4"/>
  <c r="L447" i="4" s="1"/>
  <c r="N449" i="4"/>
  <c r="N446" i="4" s="1"/>
  <c r="M454" i="4"/>
  <c r="N454" i="4"/>
  <c r="P454" i="4"/>
  <c r="O455" i="4"/>
  <c r="P455" i="4"/>
  <c r="L456" i="4"/>
  <c r="L454" i="4" s="1"/>
  <c r="O454" i="4" s="1"/>
  <c r="P456" i="4"/>
  <c r="K458" i="4"/>
  <c r="I460" i="4"/>
  <c r="I462" i="4"/>
  <c r="I443" i="4" s="1"/>
  <c r="I463" i="4"/>
  <c r="I464" i="4"/>
  <c r="I465" i="4"/>
  <c r="K465" i="4" s="1"/>
  <c r="J465" i="4"/>
  <c r="I466" i="4"/>
  <c r="K466" i="4" s="1"/>
  <c r="J466" i="4"/>
  <c r="L468" i="4"/>
  <c r="O468" i="4" s="1"/>
  <c r="M468" i="4"/>
  <c r="N468" i="4"/>
  <c r="N470" i="4"/>
  <c r="O471" i="4"/>
  <c r="P471" i="4"/>
  <c r="L472" i="4"/>
  <c r="M472" i="4" s="1"/>
  <c r="M469" i="4" s="1"/>
  <c r="N472" i="4"/>
  <c r="M477" i="4"/>
  <c r="N477" i="4"/>
  <c r="P477" i="4"/>
  <c r="O478" i="4"/>
  <c r="P478" i="4"/>
  <c r="L479" i="4"/>
  <c r="L477" i="4" s="1"/>
  <c r="O477" i="4" s="1"/>
  <c r="P479" i="4"/>
  <c r="I483" i="4"/>
  <c r="K483" i="4" s="1"/>
  <c r="I485" i="4"/>
  <c r="K485" i="4" s="1"/>
  <c r="I487" i="4"/>
  <c r="K487" i="4" s="1"/>
  <c r="I489" i="4"/>
  <c r="K489" i="4" s="1"/>
  <c r="I492" i="4"/>
  <c r="K492" i="4" s="1"/>
  <c r="I495" i="4"/>
  <c r="K495" i="4" s="1"/>
  <c r="I498" i="4"/>
  <c r="K498" i="4" s="1"/>
  <c r="J500" i="4"/>
  <c r="K500" i="4"/>
  <c r="K501" i="4"/>
  <c r="L503" i="4"/>
  <c r="M503" i="4"/>
  <c r="N503" i="4"/>
  <c r="L504" i="4"/>
  <c r="O504" i="4" s="1"/>
  <c r="M504" i="4"/>
  <c r="P504" i="4" s="1"/>
  <c r="L505" i="4"/>
  <c r="M505" i="4"/>
  <c r="P505" i="4" s="1"/>
  <c r="O505" i="4"/>
  <c r="O506" i="4"/>
  <c r="P506" i="4"/>
  <c r="N507" i="4"/>
  <c r="N504" i="4" s="1"/>
  <c r="O507" i="4"/>
  <c r="P507" i="4"/>
  <c r="L512" i="4"/>
  <c r="M512" i="4"/>
  <c r="P512" i="4" s="1"/>
  <c r="N512" i="4"/>
  <c r="O512" i="4"/>
  <c r="O513" i="4"/>
  <c r="P513" i="4"/>
  <c r="O514" i="4"/>
  <c r="P514" i="4"/>
  <c r="K516" i="4"/>
  <c r="J517" i="4"/>
  <c r="J501" i="4" s="1"/>
  <c r="K517" i="4"/>
  <c r="L524" i="4"/>
  <c r="O524" i="4" s="1"/>
  <c r="M524" i="4"/>
  <c r="P524" i="4" s="1"/>
  <c r="N524" i="4"/>
  <c r="M525" i="4"/>
  <c r="P525" i="4" s="1"/>
  <c r="N525" i="4"/>
  <c r="M526" i="4"/>
  <c r="P526" i="4"/>
  <c r="O527" i="4"/>
  <c r="P527" i="4"/>
  <c r="L528" i="4"/>
  <c r="N528" i="4"/>
  <c r="N526" i="4" s="1"/>
  <c r="P528" i="4"/>
  <c r="M533" i="4"/>
  <c r="N533" i="4"/>
  <c r="P533" i="4"/>
  <c r="O534" i="4"/>
  <c r="P534" i="4"/>
  <c r="L535" i="4"/>
  <c r="L533" i="4" s="1"/>
  <c r="O533" i="4" s="1"/>
  <c r="P535" i="4"/>
  <c r="I537" i="4"/>
  <c r="I538" i="4"/>
  <c r="K538" i="4" s="1"/>
  <c r="I539" i="4"/>
  <c r="K539" i="4" s="1"/>
  <c r="I540" i="4"/>
  <c r="K540" i="4" s="1"/>
  <c r="I541" i="4"/>
  <c r="K541" i="4" s="1"/>
  <c r="I542" i="4"/>
  <c r="K542" i="4" s="1"/>
  <c r="L545" i="4"/>
  <c r="O545" i="4"/>
  <c r="O548" i="4"/>
  <c r="P548" i="4"/>
  <c r="L549" i="4"/>
  <c r="N549" i="4"/>
  <c r="N547" i="4" s="1"/>
  <c r="M555" i="4"/>
  <c r="M545" i="4" s="1"/>
  <c r="N555" i="4"/>
  <c r="N545" i="4" s="1"/>
  <c r="O556" i="4"/>
  <c r="P556" i="4"/>
  <c r="L557" i="4"/>
  <c r="L555" i="4" s="1"/>
  <c r="O555" i="4" s="1"/>
  <c r="P557" i="4"/>
  <c r="I560" i="4"/>
  <c r="J560" i="4"/>
  <c r="I561" i="4"/>
  <c r="J561" i="4"/>
  <c r="I568" i="4"/>
  <c r="J568" i="4"/>
  <c r="I569" i="4"/>
  <c r="J569" i="4"/>
  <c r="I576" i="4"/>
  <c r="I577" i="4"/>
  <c r="K577" i="4" s="1"/>
  <c r="J582" i="4"/>
  <c r="J576" i="4" s="1"/>
  <c r="J559" i="4" s="1"/>
  <c r="J543" i="4" s="1"/>
  <c r="J583" i="4"/>
  <c r="J577" i="4" s="1"/>
  <c r="I593" i="4"/>
  <c r="I594" i="4"/>
  <c r="K594" i="4" s="1"/>
  <c r="J595" i="4"/>
  <c r="J596" i="4"/>
  <c r="J594" i="4" s="1"/>
  <c r="J603" i="4"/>
  <c r="J604" i="4"/>
  <c r="J611" i="4"/>
  <c r="K611" i="4"/>
  <c r="J612" i="4"/>
  <c r="K612" i="4"/>
  <c r="J613" i="4"/>
  <c r="K613" i="4"/>
  <c r="I620" i="4"/>
  <c r="K620" i="4" s="1"/>
  <c r="J620" i="4"/>
  <c r="I621" i="4"/>
  <c r="J621" i="4"/>
  <c r="L630" i="4"/>
  <c r="M630" i="4"/>
  <c r="P630" i="4" s="1"/>
  <c r="N630" i="4"/>
  <c r="O630" i="4"/>
  <c r="M631" i="4"/>
  <c r="P631" i="4" s="1"/>
  <c r="M632" i="4"/>
  <c r="P632" i="4" s="1"/>
  <c r="O633" i="4"/>
  <c r="P633" i="4"/>
  <c r="L634" i="4"/>
  <c r="L632" i="4" s="1"/>
  <c r="O632" i="4" s="1"/>
  <c r="N634" i="4"/>
  <c r="N631" i="4" s="1"/>
  <c r="P634" i="4"/>
  <c r="M639" i="4"/>
  <c r="N639" i="4"/>
  <c r="P639" i="4"/>
  <c r="O640" i="4"/>
  <c r="P640" i="4"/>
  <c r="L641" i="4"/>
  <c r="L639" i="4" s="1"/>
  <c r="O639" i="4" s="1"/>
  <c r="P641" i="4"/>
  <c r="I643" i="4"/>
  <c r="K643" i="4" s="1"/>
  <c r="I644" i="4"/>
  <c r="K644" i="4" s="1"/>
  <c r="J645" i="4"/>
  <c r="K645" i="4"/>
  <c r="J646" i="4"/>
  <c r="K646" i="4"/>
  <c r="I647" i="4"/>
  <c r="K647" i="4" s="1"/>
  <c r="J647" i="4"/>
  <c r="J648" i="4"/>
  <c r="K648" i="4"/>
  <c r="I649" i="4"/>
  <c r="K649" i="4" s="1"/>
  <c r="J649" i="4"/>
  <c r="J650" i="4"/>
  <c r="K650" i="4"/>
  <c r="I651" i="4"/>
  <c r="I628" i="4" s="1"/>
  <c r="K628" i="4" s="1"/>
  <c r="J651" i="4"/>
  <c r="J628" i="4" s="1"/>
  <c r="J652" i="4"/>
  <c r="K652" i="4"/>
  <c r="L656" i="4"/>
  <c r="M656" i="4"/>
  <c r="P656" i="4" s="1"/>
  <c r="N656" i="4"/>
  <c r="M657" i="4"/>
  <c r="P657" i="4" s="1"/>
  <c r="M658" i="4"/>
  <c r="P658" i="4" s="1"/>
  <c r="O659" i="4"/>
  <c r="P659" i="4"/>
  <c r="L660" i="4"/>
  <c r="L657" i="4" s="1"/>
  <c r="O657" i="4" s="1"/>
  <c r="N660" i="4"/>
  <c r="N658" i="4" s="1"/>
  <c r="P660" i="4"/>
  <c r="L665" i="4"/>
  <c r="M665" i="4"/>
  <c r="P665" i="4" s="1"/>
  <c r="N665" i="4"/>
  <c r="O665" i="4"/>
  <c r="O666" i="4"/>
  <c r="P666" i="4"/>
  <c r="O667" i="4"/>
  <c r="P667" i="4"/>
  <c r="I669" i="4"/>
  <c r="K675" i="4" s="1"/>
  <c r="I670" i="4"/>
  <c r="K670" i="4" s="1"/>
  <c r="I671" i="4"/>
  <c r="K671" i="4" s="1"/>
  <c r="J675" i="4"/>
  <c r="J669" i="4" s="1"/>
  <c r="J654" i="4" s="1"/>
  <c r="I678" i="4"/>
  <c r="K678" i="4" s="1"/>
  <c r="J679" i="4"/>
  <c r="J678" i="4" s="1"/>
  <c r="L686" i="4"/>
  <c r="M686" i="4"/>
  <c r="M685" i="4" s="1"/>
  <c r="P685" i="4" s="1"/>
  <c r="N686" i="4"/>
  <c r="O686" i="4"/>
  <c r="M687" i="4"/>
  <c r="P687" i="4" s="1"/>
  <c r="M688" i="4"/>
  <c r="P688" i="4"/>
  <c r="L690" i="4"/>
  <c r="L688" i="4" s="1"/>
  <c r="O688" i="4" s="1"/>
  <c r="N690" i="4"/>
  <c r="N688" i="4" s="1"/>
  <c r="P690" i="4"/>
  <c r="L695" i="4"/>
  <c r="O695" i="4" s="1"/>
  <c r="M695" i="4"/>
  <c r="P695" i="4" s="1"/>
  <c r="N695" i="4"/>
  <c r="O696" i="4"/>
  <c r="P696" i="4"/>
  <c r="O697" i="4"/>
  <c r="P697" i="4"/>
  <c r="I699" i="4"/>
  <c r="K699" i="4" s="1"/>
  <c r="J699" i="4"/>
  <c r="I700" i="4"/>
  <c r="K700" i="4" s="1"/>
  <c r="J700" i="4"/>
  <c r="I701" i="4"/>
  <c r="K701" i="4" s="1"/>
  <c r="J701" i="4"/>
  <c r="I704" i="4"/>
  <c r="I707" i="4"/>
  <c r="I708" i="4"/>
  <c r="K708" i="4" s="1"/>
  <c r="J708" i="4"/>
  <c r="J718" i="4"/>
  <c r="J719" i="4"/>
  <c r="I720" i="4"/>
  <c r="K720" i="4" s="1"/>
  <c r="J720" i="4"/>
  <c r="I721" i="4"/>
  <c r="K721" i="4" s="1"/>
  <c r="I722" i="4"/>
  <c r="K722" i="4" s="1"/>
  <c r="I723" i="4"/>
  <c r="K723" i="4" s="1"/>
  <c r="J723" i="4"/>
  <c r="J724" i="4"/>
  <c r="I725" i="4"/>
  <c r="K725" i="4" s="1"/>
  <c r="J725" i="4"/>
  <c r="I726" i="4"/>
  <c r="K726" i="4" s="1"/>
  <c r="J726" i="4"/>
  <c r="J727" i="4"/>
  <c r="I728" i="4"/>
  <c r="K728" i="4" s="1"/>
  <c r="J728" i="4"/>
  <c r="I729" i="4"/>
  <c r="K729" i="4" s="1"/>
  <c r="J729" i="4"/>
  <c r="J736" i="4"/>
  <c r="K736" i="4"/>
  <c r="L738" i="4"/>
  <c r="O738" i="4" s="1"/>
  <c r="M738" i="4"/>
  <c r="N738" i="4"/>
  <c r="L739" i="4"/>
  <c r="O739" i="4" s="1"/>
  <c r="M739" i="4"/>
  <c r="P739" i="4" s="1"/>
  <c r="N739" i="4"/>
  <c r="L740" i="4"/>
  <c r="O740" i="4" s="1"/>
  <c r="M740" i="4"/>
  <c r="P740" i="4"/>
  <c r="O741" i="4"/>
  <c r="P741" i="4"/>
  <c r="N742" i="4"/>
  <c r="N740" i="4" s="1"/>
  <c r="O742" i="4"/>
  <c r="P742" i="4"/>
  <c r="L747" i="4"/>
  <c r="O747" i="4" s="1"/>
  <c r="M747" i="4"/>
  <c r="P747" i="4" s="1"/>
  <c r="N747" i="4"/>
  <c r="O748" i="4"/>
  <c r="P748" i="4"/>
  <c r="O749" i="4"/>
  <c r="P749" i="4"/>
  <c r="J753" i="4"/>
  <c r="K753" i="4"/>
  <c r="N754" i="4"/>
  <c r="L755" i="4"/>
  <c r="O755" i="4" s="1"/>
  <c r="M755" i="4"/>
  <c r="P755" i="4" s="1"/>
  <c r="N755" i="4"/>
  <c r="L756" i="4"/>
  <c r="L754" i="4" s="1"/>
  <c r="O754" i="4" s="1"/>
  <c r="M756" i="4"/>
  <c r="N756" i="4"/>
  <c r="P756" i="4"/>
  <c r="L757" i="4"/>
  <c r="M757" i="4"/>
  <c r="P757" i="4" s="1"/>
  <c r="O757" i="4"/>
  <c r="O758" i="4"/>
  <c r="P758" i="4"/>
  <c r="N759" i="4"/>
  <c r="N757" i="4" s="1"/>
  <c r="O759" i="4"/>
  <c r="P759" i="4"/>
  <c r="L764" i="4"/>
  <c r="O764" i="4" s="1"/>
  <c r="M764" i="4"/>
  <c r="P764" i="4" s="1"/>
  <c r="N764" i="4"/>
  <c r="O765" i="4"/>
  <c r="P765" i="4"/>
  <c r="O766" i="4"/>
  <c r="P766" i="4"/>
  <c r="J769" i="4"/>
  <c r="K769" i="4"/>
  <c r="L771" i="4"/>
  <c r="M771" i="4"/>
  <c r="N771" i="4"/>
  <c r="O771" i="4"/>
  <c r="L772" i="4"/>
  <c r="M772" i="4"/>
  <c r="P772" i="4"/>
  <c r="L773" i="4"/>
  <c r="O773" i="4" s="1"/>
  <c r="M773" i="4"/>
  <c r="P773" i="4" s="1"/>
  <c r="O774" i="4"/>
  <c r="P774" i="4"/>
  <c r="N775" i="4"/>
  <c r="N773" i="4" s="1"/>
  <c r="O775" i="4"/>
  <c r="P775" i="4"/>
  <c r="L780" i="4"/>
  <c r="O780" i="4" s="1"/>
  <c r="M780" i="4"/>
  <c r="P780" i="4" s="1"/>
  <c r="N780" i="4"/>
  <c r="O781" i="4"/>
  <c r="P781" i="4"/>
  <c r="O782" i="4"/>
  <c r="P782" i="4"/>
  <c r="L787" i="4"/>
  <c r="O787" i="4" s="1"/>
  <c r="M787" i="4"/>
  <c r="P787" i="4" s="1"/>
  <c r="N787" i="4"/>
  <c r="M788" i="4"/>
  <c r="P788" i="4" s="1"/>
  <c r="M789" i="4"/>
  <c r="P789" i="4" s="1"/>
  <c r="O790" i="4"/>
  <c r="P790" i="4"/>
  <c r="L791" i="4"/>
  <c r="L788" i="4" s="1"/>
  <c r="O788" i="4" s="1"/>
  <c r="N791" i="4"/>
  <c r="N789" i="4" s="1"/>
  <c r="P791" i="4"/>
  <c r="L796" i="4"/>
  <c r="O796" i="4" s="1"/>
  <c r="M796" i="4"/>
  <c r="N796" i="4"/>
  <c r="P796" i="4"/>
  <c r="O797" i="4"/>
  <c r="P797" i="4"/>
  <c r="O798" i="4"/>
  <c r="P798" i="4"/>
  <c r="I800" i="4"/>
  <c r="I785" i="4" s="1"/>
  <c r="K785" i="4" s="1"/>
  <c r="J800" i="4"/>
  <c r="J785" i="4" s="1"/>
  <c r="J801" i="4"/>
  <c r="K802" i="4"/>
  <c r="J804" i="4"/>
  <c r="K804" i="4"/>
  <c r="N805" i="4"/>
  <c r="L806" i="4"/>
  <c r="L805" i="4" s="1"/>
  <c r="O805" i="4" s="1"/>
  <c r="M806" i="4"/>
  <c r="N806" i="4"/>
  <c r="P806" i="4"/>
  <c r="L807" i="4"/>
  <c r="M807" i="4"/>
  <c r="P807" i="4" s="1"/>
  <c r="N807" i="4"/>
  <c r="O807" i="4"/>
  <c r="L808" i="4"/>
  <c r="O808" i="4" s="1"/>
  <c r="M808" i="4"/>
  <c r="P808" i="4" s="1"/>
  <c r="O809" i="4"/>
  <c r="P809" i="4"/>
  <c r="N810" i="4"/>
  <c r="N808" i="4" s="1"/>
  <c r="O810" i="4"/>
  <c r="P810" i="4"/>
  <c r="L815" i="4"/>
  <c r="O815" i="4" s="1"/>
  <c r="M815" i="4"/>
  <c r="P815" i="4" s="1"/>
  <c r="N815" i="4"/>
  <c r="O816" i="4"/>
  <c r="P816" i="4"/>
  <c r="O817" i="4"/>
  <c r="P817" i="4"/>
  <c r="H820" i="4"/>
  <c r="I821" i="4"/>
  <c r="J821" i="4"/>
  <c r="I822" i="4"/>
  <c r="J822" i="4"/>
  <c r="I823" i="4"/>
  <c r="J823" i="4"/>
  <c r="I824" i="4"/>
  <c r="J824" i="4"/>
  <c r="I825" i="4"/>
  <c r="K825" i="4" s="1"/>
  <c r="J825" i="4"/>
  <c r="I826" i="4"/>
  <c r="K826" i="4" s="1"/>
  <c r="J826" i="4"/>
  <c r="I827" i="4"/>
  <c r="J827" i="4"/>
  <c r="I828" i="4"/>
  <c r="J828" i="4"/>
  <c r="L22" i="3"/>
  <c r="M22" i="3"/>
  <c r="N22" i="3"/>
  <c r="P22" i="3"/>
  <c r="L25" i="3"/>
  <c r="L15" i="3" s="1"/>
  <c r="M25" i="3"/>
  <c r="N25" i="3"/>
  <c r="N15" i="3" s="1"/>
  <c r="O25" i="3"/>
  <c r="L32" i="3"/>
  <c r="M32" i="3"/>
  <c r="M12" i="3" s="1"/>
  <c r="N32" i="3"/>
  <c r="N12" i="3" s="1"/>
  <c r="O32" i="3"/>
  <c r="L35" i="3"/>
  <c r="L29" i="3" s="1"/>
  <c r="M35" i="3"/>
  <c r="N35" i="3"/>
  <c r="P35" i="3"/>
  <c r="M36" i="3"/>
  <c r="P36" i="3" s="1"/>
  <c r="N36" i="3"/>
  <c r="L42" i="3"/>
  <c r="O42" i="3" s="1"/>
  <c r="M42" i="3"/>
  <c r="N42" i="3"/>
  <c r="P42" i="3"/>
  <c r="O45" i="3"/>
  <c r="P45" i="3"/>
  <c r="L46" i="3"/>
  <c r="L44" i="3" s="1"/>
  <c r="M46" i="3"/>
  <c r="N46" i="3"/>
  <c r="O48" i="3"/>
  <c r="P48" i="3"/>
  <c r="L49" i="3"/>
  <c r="L47" i="3" s="1"/>
  <c r="O47" i="3" s="1"/>
  <c r="M49" i="3"/>
  <c r="M47" i="3" s="1"/>
  <c r="P47" i="3" s="1"/>
  <c r="N49" i="3"/>
  <c r="N47" i="3" s="1"/>
  <c r="L54" i="3"/>
  <c r="O54" i="3" s="1"/>
  <c r="M54" i="3"/>
  <c r="N54" i="3"/>
  <c r="O57" i="3"/>
  <c r="P57" i="3"/>
  <c r="L58" i="3"/>
  <c r="M58" i="3"/>
  <c r="N58" i="3"/>
  <c r="N56" i="3" s="1"/>
  <c r="O60" i="3"/>
  <c r="P60" i="3"/>
  <c r="L61" i="3"/>
  <c r="M61" i="3"/>
  <c r="N61" i="3"/>
  <c r="J64" i="3"/>
  <c r="L67" i="3"/>
  <c r="M67" i="3"/>
  <c r="P67" i="3" s="1"/>
  <c r="N67" i="3"/>
  <c r="O67" i="3"/>
  <c r="O70" i="3"/>
  <c r="P70" i="3"/>
  <c r="L71" i="3"/>
  <c r="L69" i="3" s="1"/>
  <c r="M71" i="3"/>
  <c r="N71" i="3"/>
  <c r="N69" i="3" s="1"/>
  <c r="O73" i="3"/>
  <c r="P73" i="3"/>
  <c r="L74" i="3"/>
  <c r="L72" i="3" s="1"/>
  <c r="O72" i="3" s="1"/>
  <c r="M74" i="3"/>
  <c r="P74" i="3" s="1"/>
  <c r="N74" i="3"/>
  <c r="N72" i="3" s="1"/>
  <c r="J76" i="3"/>
  <c r="J77" i="3"/>
  <c r="J65" i="3" s="1"/>
  <c r="I78" i="3"/>
  <c r="I79" i="3"/>
  <c r="K79" i="3" s="1"/>
  <c r="I80" i="3"/>
  <c r="K80" i="3" s="1"/>
  <c r="I81" i="3"/>
  <c r="K81" i="3" s="1"/>
  <c r="I82" i="3"/>
  <c r="K82" i="3" s="1"/>
  <c r="I83" i="3"/>
  <c r="K83" i="3" s="1"/>
  <c r="I84" i="3"/>
  <c r="K84" i="3" s="1"/>
  <c r="L89" i="3"/>
  <c r="O89" i="3" s="1"/>
  <c r="M89" i="3"/>
  <c r="N89" i="3"/>
  <c r="P89" i="3"/>
  <c r="O92" i="3"/>
  <c r="P92" i="3"/>
  <c r="L93" i="3"/>
  <c r="L91" i="3" s="1"/>
  <c r="M93" i="3"/>
  <c r="M91" i="3" s="1"/>
  <c r="N93" i="3"/>
  <c r="N91" i="3" s="1"/>
  <c r="O95" i="3"/>
  <c r="P95" i="3"/>
  <c r="L96" i="3"/>
  <c r="M96" i="3"/>
  <c r="M94" i="3" s="1"/>
  <c r="P94" i="3" s="1"/>
  <c r="N96" i="3"/>
  <c r="N94" i="3" s="1"/>
  <c r="I98" i="3"/>
  <c r="J98" i="3"/>
  <c r="J86" i="3" s="1"/>
  <c r="I99" i="3"/>
  <c r="I87" i="3" s="1"/>
  <c r="K87" i="3" s="1"/>
  <c r="J99" i="3"/>
  <c r="J87" i="3" s="1"/>
  <c r="I100" i="3"/>
  <c r="J100" i="3"/>
  <c r="I102" i="3"/>
  <c r="K102" i="3" s="1"/>
  <c r="I103" i="3"/>
  <c r="K103" i="3" s="1"/>
  <c r="I104" i="3"/>
  <c r="K104" i="3" s="1"/>
  <c r="I106" i="3"/>
  <c r="K106" i="3" s="1"/>
  <c r="I107" i="3"/>
  <c r="K107" i="3" s="1"/>
  <c r="I109" i="3"/>
  <c r="K109" i="3" s="1"/>
  <c r="I110" i="3"/>
  <c r="K110" i="3" s="1"/>
  <c r="I111" i="3"/>
  <c r="K111" i="3" s="1"/>
  <c r="J111" i="3"/>
  <c r="J112" i="3"/>
  <c r="I113" i="3"/>
  <c r="K113" i="3" s="1"/>
  <c r="I114" i="3"/>
  <c r="K114" i="3" s="1"/>
  <c r="I115" i="3"/>
  <c r="I116" i="3"/>
  <c r="K116" i="3" s="1"/>
  <c r="K118" i="3"/>
  <c r="L120" i="3"/>
  <c r="M120" i="3"/>
  <c r="N120" i="3"/>
  <c r="P120" i="3"/>
  <c r="O123" i="3"/>
  <c r="P123" i="3"/>
  <c r="L124" i="3"/>
  <c r="O124" i="3" s="1"/>
  <c r="M124" i="3"/>
  <c r="P124" i="3" s="1"/>
  <c r="N124" i="3"/>
  <c r="N122" i="3" s="1"/>
  <c r="O126" i="3"/>
  <c r="P126" i="3"/>
  <c r="L127" i="3"/>
  <c r="M127" i="3"/>
  <c r="P127" i="3" s="1"/>
  <c r="N127" i="3"/>
  <c r="N125" i="3" s="1"/>
  <c r="J130" i="3"/>
  <c r="L133" i="3"/>
  <c r="M133" i="3"/>
  <c r="P133" i="3" s="1"/>
  <c r="N133" i="3"/>
  <c r="O133" i="3"/>
  <c r="O136" i="3"/>
  <c r="P136" i="3"/>
  <c r="L137" i="3"/>
  <c r="L135" i="3" s="1"/>
  <c r="M137" i="3"/>
  <c r="M135" i="3" s="1"/>
  <c r="N137" i="3"/>
  <c r="N135" i="3" s="1"/>
  <c r="O139" i="3"/>
  <c r="P139" i="3"/>
  <c r="L140" i="3"/>
  <c r="L138" i="3" s="1"/>
  <c r="M140" i="3"/>
  <c r="M138" i="3" s="1"/>
  <c r="N140" i="3"/>
  <c r="I144" i="3"/>
  <c r="K144" i="3" s="1"/>
  <c r="I145" i="3"/>
  <c r="I146" i="3"/>
  <c r="K146" i="3" s="1"/>
  <c r="J148" i="3"/>
  <c r="L150" i="3"/>
  <c r="M150" i="3"/>
  <c r="P150" i="3" s="1"/>
  <c r="N150" i="3"/>
  <c r="O153" i="3"/>
  <c r="P153" i="3"/>
  <c r="L154" i="3"/>
  <c r="L152" i="3" s="1"/>
  <c r="M154" i="3"/>
  <c r="N154" i="3"/>
  <c r="N152" i="3" s="1"/>
  <c r="O156" i="3"/>
  <c r="P156" i="3"/>
  <c r="L157" i="3"/>
  <c r="M157" i="3"/>
  <c r="P157" i="3" s="1"/>
  <c r="N157" i="3"/>
  <c r="N155" i="3" s="1"/>
  <c r="I159" i="3"/>
  <c r="I148" i="3" s="1"/>
  <c r="K148" i="3" s="1"/>
  <c r="L166" i="3"/>
  <c r="O166" i="3" s="1"/>
  <c r="M166" i="3"/>
  <c r="N166" i="3"/>
  <c r="P166" i="3"/>
  <c r="O169" i="3"/>
  <c r="P169" i="3"/>
  <c r="L170" i="3"/>
  <c r="M170" i="3"/>
  <c r="M168" i="3" s="1"/>
  <c r="N170" i="3"/>
  <c r="N168" i="3" s="1"/>
  <c r="O172" i="3"/>
  <c r="P172" i="3"/>
  <c r="L173" i="3"/>
  <c r="L171" i="3" s="1"/>
  <c r="O171" i="3" s="1"/>
  <c r="M173" i="3"/>
  <c r="M171" i="3" s="1"/>
  <c r="P171" i="3" s="1"/>
  <c r="N173" i="3"/>
  <c r="N171" i="3" s="1"/>
  <c r="J174" i="3"/>
  <c r="I176" i="3"/>
  <c r="K176" i="3" s="1"/>
  <c r="J177" i="3"/>
  <c r="L182" i="3"/>
  <c r="M182" i="3"/>
  <c r="P182" i="3" s="1"/>
  <c r="N182" i="3"/>
  <c r="O182" i="3"/>
  <c r="O185" i="3"/>
  <c r="P185" i="3"/>
  <c r="L186" i="3"/>
  <c r="L184" i="3" s="1"/>
  <c r="M186" i="3"/>
  <c r="M184" i="3" s="1"/>
  <c r="N186" i="3"/>
  <c r="N184" i="3" s="1"/>
  <c r="O188" i="3"/>
  <c r="P188" i="3"/>
  <c r="L189" i="3"/>
  <c r="O189" i="3" s="1"/>
  <c r="M189" i="3"/>
  <c r="M187" i="3" s="1"/>
  <c r="P187" i="3" s="1"/>
  <c r="N189" i="3"/>
  <c r="N187" i="3" s="1"/>
  <c r="J190" i="3"/>
  <c r="L191" i="3"/>
  <c r="O191" i="3" s="1"/>
  <c r="P191" i="3"/>
  <c r="I193" i="3"/>
  <c r="K193" i="3" s="1"/>
  <c r="J194" i="3"/>
  <c r="J197" i="3"/>
  <c r="N198" i="3"/>
  <c r="P198" i="3"/>
  <c r="L199" i="3"/>
  <c r="L200" i="3"/>
  <c r="L201" i="3"/>
  <c r="L202" i="3"/>
  <c r="I204" i="3"/>
  <c r="I197" i="3" s="1"/>
  <c r="K197" i="3" s="1"/>
  <c r="K206" i="3"/>
  <c r="K207" i="3"/>
  <c r="J208" i="3"/>
  <c r="N209" i="3"/>
  <c r="P209" i="3"/>
  <c r="L210" i="3"/>
  <c r="L211" i="3"/>
  <c r="L212" i="3"/>
  <c r="I214" i="3"/>
  <c r="K214" i="3" s="1"/>
  <c r="I215" i="3"/>
  <c r="K215" i="3" s="1"/>
  <c r="J216" i="3"/>
  <c r="N217" i="3"/>
  <c r="P217" i="3"/>
  <c r="L218" i="3"/>
  <c r="L219" i="3"/>
  <c r="L220" i="3"/>
  <c r="I223" i="3"/>
  <c r="K223" i="3" s="1"/>
  <c r="I224" i="3"/>
  <c r="I216" i="3" s="1"/>
  <c r="I225" i="3"/>
  <c r="N228" i="3"/>
  <c r="N229" i="3"/>
  <c r="N230" i="3"/>
  <c r="N231" i="3"/>
  <c r="J233" i="3"/>
  <c r="I235" i="3"/>
  <c r="K235" i="3" s="1"/>
  <c r="J235" i="3"/>
  <c r="I236" i="3"/>
  <c r="K236" i="3" s="1"/>
  <c r="J236" i="3"/>
  <c r="J237" i="3"/>
  <c r="N238" i="3"/>
  <c r="N227" i="3" s="1"/>
  <c r="P238" i="3"/>
  <c r="L239" i="3"/>
  <c r="L240" i="3"/>
  <c r="L241" i="3"/>
  <c r="L242" i="3"/>
  <c r="I244" i="3"/>
  <c r="K244" i="3" s="1"/>
  <c r="K246" i="3"/>
  <c r="K247" i="3"/>
  <c r="J248" i="3"/>
  <c r="N249" i="3"/>
  <c r="P249" i="3"/>
  <c r="L250" i="3"/>
  <c r="L251" i="3"/>
  <c r="L252" i="3"/>
  <c r="L253" i="3"/>
  <c r="I255" i="3"/>
  <c r="K257" i="3"/>
  <c r="K258" i="3"/>
  <c r="J260" i="3"/>
  <c r="L262" i="3"/>
  <c r="M262" i="3"/>
  <c r="N262" i="3"/>
  <c r="P262" i="3"/>
  <c r="O265" i="3"/>
  <c r="P265" i="3"/>
  <c r="L266" i="3"/>
  <c r="M266" i="3"/>
  <c r="N266" i="3"/>
  <c r="N264" i="3" s="1"/>
  <c r="O268" i="3"/>
  <c r="P268" i="3"/>
  <c r="L269" i="3"/>
  <c r="O269" i="3" s="1"/>
  <c r="M269" i="3"/>
  <c r="P269" i="3" s="1"/>
  <c r="N269" i="3"/>
  <c r="N267" i="3" s="1"/>
  <c r="I271" i="3"/>
  <c r="I260" i="3" s="1"/>
  <c r="K260" i="3" s="1"/>
  <c r="J276" i="3"/>
  <c r="L278" i="3"/>
  <c r="M278" i="3"/>
  <c r="P278" i="3" s="1"/>
  <c r="N278" i="3"/>
  <c r="O278" i="3"/>
  <c r="O281" i="3"/>
  <c r="P281" i="3"/>
  <c r="L282" i="3"/>
  <c r="L280" i="3" s="1"/>
  <c r="M282" i="3"/>
  <c r="M280" i="3" s="1"/>
  <c r="N282" i="3"/>
  <c r="N280" i="3" s="1"/>
  <c r="O284" i="3"/>
  <c r="P284" i="3"/>
  <c r="L285" i="3"/>
  <c r="L283" i="3" s="1"/>
  <c r="O283" i="3" s="1"/>
  <c r="M285" i="3"/>
  <c r="M283" i="3" s="1"/>
  <c r="P283" i="3" s="1"/>
  <c r="N285" i="3"/>
  <c r="N283" i="3" s="1"/>
  <c r="I287" i="3"/>
  <c r="I276" i="3" s="1"/>
  <c r="I288" i="3"/>
  <c r="I275" i="3" s="1"/>
  <c r="I290" i="3"/>
  <c r="K290" i="3" s="1"/>
  <c r="I291" i="3"/>
  <c r="K291" i="3" s="1"/>
  <c r="I293" i="3"/>
  <c r="K293" i="3" s="1"/>
  <c r="I294" i="3"/>
  <c r="K294" i="3" s="1"/>
  <c r="J297" i="3"/>
  <c r="L299" i="3"/>
  <c r="M299" i="3"/>
  <c r="P299" i="3" s="1"/>
  <c r="N299" i="3"/>
  <c r="O302" i="3"/>
  <c r="P302" i="3"/>
  <c r="L303" i="3"/>
  <c r="L301" i="3" s="1"/>
  <c r="M303" i="3"/>
  <c r="N303" i="3"/>
  <c r="N301" i="3" s="1"/>
  <c r="O305" i="3"/>
  <c r="P305" i="3"/>
  <c r="L306" i="3"/>
  <c r="L304" i="3" s="1"/>
  <c r="O304" i="3" s="1"/>
  <c r="M306" i="3"/>
  <c r="N306" i="3"/>
  <c r="N304" i="3" s="1"/>
  <c r="I309" i="3"/>
  <c r="I297" i="3" s="1"/>
  <c r="K297" i="3" s="1"/>
  <c r="I310" i="3"/>
  <c r="K310" i="3" s="1"/>
  <c r="I311" i="3"/>
  <c r="K311" i="3" s="1"/>
  <c r="I312" i="3"/>
  <c r="K312" i="3" s="1"/>
  <c r="J314" i="3"/>
  <c r="L316" i="3"/>
  <c r="M316" i="3"/>
  <c r="N316" i="3"/>
  <c r="P316" i="3"/>
  <c r="O319" i="3"/>
  <c r="P319" i="3"/>
  <c r="L320" i="3"/>
  <c r="M320" i="3"/>
  <c r="N320" i="3"/>
  <c r="O322" i="3"/>
  <c r="P322" i="3"/>
  <c r="L323" i="3"/>
  <c r="O323" i="3" s="1"/>
  <c r="M323" i="3"/>
  <c r="P323" i="3" s="1"/>
  <c r="N323" i="3"/>
  <c r="N321" i="3" s="1"/>
  <c r="I325" i="3"/>
  <c r="I314" i="3" s="1"/>
  <c r="K314" i="3" s="1"/>
  <c r="I327" i="3"/>
  <c r="L329" i="3"/>
  <c r="M329" i="3"/>
  <c r="P329" i="3" s="1"/>
  <c r="N329" i="3"/>
  <c r="O332" i="3"/>
  <c r="P332" i="3"/>
  <c r="L333" i="3"/>
  <c r="L331" i="3" s="1"/>
  <c r="M333" i="3"/>
  <c r="M331" i="3" s="1"/>
  <c r="N333" i="3"/>
  <c r="N331" i="3" s="1"/>
  <c r="O335" i="3"/>
  <c r="P335" i="3"/>
  <c r="L336" i="3"/>
  <c r="L334" i="3" s="1"/>
  <c r="O334" i="3" s="1"/>
  <c r="M336" i="3"/>
  <c r="M334" i="3" s="1"/>
  <c r="P334" i="3" s="1"/>
  <c r="N336" i="3"/>
  <c r="N334" i="3" s="1"/>
  <c r="D337" i="3"/>
  <c r="I338" i="3"/>
  <c r="J338" i="3"/>
  <c r="I340" i="3"/>
  <c r="J340" i="3"/>
  <c r="J341" i="3"/>
  <c r="J342" i="3"/>
  <c r="J343" i="3"/>
  <c r="L346" i="3"/>
  <c r="O346" i="3" s="1"/>
  <c r="M346" i="3"/>
  <c r="P346" i="3" s="1"/>
  <c r="N346" i="3"/>
  <c r="O349" i="3"/>
  <c r="P349" i="3"/>
  <c r="L350" i="3"/>
  <c r="L348" i="3" s="1"/>
  <c r="M350" i="3"/>
  <c r="M348" i="3" s="1"/>
  <c r="N350" i="3"/>
  <c r="N348" i="3" s="1"/>
  <c r="O352" i="3"/>
  <c r="P352" i="3"/>
  <c r="L353" i="3"/>
  <c r="L351" i="3" s="1"/>
  <c r="M353" i="3"/>
  <c r="M351" i="3" s="1"/>
  <c r="N353" i="3"/>
  <c r="N351" i="3" s="1"/>
  <c r="I355" i="3"/>
  <c r="J358" i="3"/>
  <c r="K358" i="3"/>
  <c r="I359" i="3"/>
  <c r="J359" i="3"/>
  <c r="I360" i="3"/>
  <c r="J360" i="3"/>
  <c r="J361" i="3"/>
  <c r="K361" i="3"/>
  <c r="I362" i="3"/>
  <c r="J362" i="3"/>
  <c r="J355" i="3" s="1"/>
  <c r="J363" i="3"/>
  <c r="K363" i="3"/>
  <c r="I365" i="3"/>
  <c r="J368" i="3"/>
  <c r="K368" i="3"/>
  <c r="I369" i="3"/>
  <c r="J369" i="3"/>
  <c r="I370" i="3"/>
  <c r="J370" i="3"/>
  <c r="J371" i="3"/>
  <c r="K371" i="3"/>
  <c r="I372" i="3"/>
  <c r="J372" i="3"/>
  <c r="J365" i="3" s="1"/>
  <c r="A373" i="3"/>
  <c r="J373" i="3"/>
  <c r="K373" i="3"/>
  <c r="I374" i="3"/>
  <c r="J377" i="3"/>
  <c r="K377" i="3"/>
  <c r="I378" i="3"/>
  <c r="J378" i="3"/>
  <c r="I379" i="3"/>
  <c r="J379" i="3"/>
  <c r="J380" i="3"/>
  <c r="K380" i="3"/>
  <c r="I381" i="3"/>
  <c r="J381" i="3"/>
  <c r="J374" i="3" s="1"/>
  <c r="A382" i="3"/>
  <c r="J382" i="3"/>
  <c r="K382" i="3"/>
  <c r="D384" i="3"/>
  <c r="I385" i="3"/>
  <c r="J385" i="3"/>
  <c r="I388" i="3"/>
  <c r="K388" i="3" s="1"/>
  <c r="J388" i="3"/>
  <c r="L390" i="3"/>
  <c r="M390" i="3"/>
  <c r="P390" i="3" s="1"/>
  <c r="N390" i="3"/>
  <c r="O393" i="3"/>
  <c r="P393" i="3"/>
  <c r="L394" i="3"/>
  <c r="O394" i="3" s="1"/>
  <c r="M394" i="3"/>
  <c r="P394" i="3" s="1"/>
  <c r="N394" i="3"/>
  <c r="O396" i="3"/>
  <c r="P396" i="3"/>
  <c r="L397" i="3"/>
  <c r="O397" i="3" s="1"/>
  <c r="M397" i="3"/>
  <c r="N397" i="3"/>
  <c r="N395" i="3" s="1"/>
  <c r="K399" i="3"/>
  <c r="K400" i="3"/>
  <c r="I401" i="3"/>
  <c r="K401" i="3" s="1"/>
  <c r="J401" i="3"/>
  <c r="L403" i="3"/>
  <c r="M403" i="3"/>
  <c r="N403" i="3"/>
  <c r="O403" i="3"/>
  <c r="P403" i="3"/>
  <c r="O406" i="3"/>
  <c r="P406" i="3"/>
  <c r="L407" i="3"/>
  <c r="M407" i="3"/>
  <c r="M405" i="3" s="1"/>
  <c r="P405" i="3" s="1"/>
  <c r="N407" i="3"/>
  <c r="N405" i="3" s="1"/>
  <c r="O409" i="3"/>
  <c r="P409" i="3"/>
  <c r="L410" i="3"/>
  <c r="L408" i="3" s="1"/>
  <c r="O408" i="3" s="1"/>
  <c r="M410" i="3"/>
  <c r="M408" i="3" s="1"/>
  <c r="P408" i="3" s="1"/>
  <c r="N410" i="3"/>
  <c r="N408" i="3" s="1"/>
  <c r="K412" i="3"/>
  <c r="K413" i="3"/>
  <c r="L420" i="3"/>
  <c r="M420" i="3"/>
  <c r="N420" i="3"/>
  <c r="P420" i="3"/>
  <c r="N422" i="3"/>
  <c r="O423" i="3"/>
  <c r="P423" i="3"/>
  <c r="L424" i="3"/>
  <c r="N424" i="3"/>
  <c r="N421" i="3" s="1"/>
  <c r="M429" i="3"/>
  <c r="P429" i="3" s="1"/>
  <c r="N429" i="3"/>
  <c r="O430" i="3"/>
  <c r="P430" i="3"/>
  <c r="L431" i="3"/>
  <c r="P431" i="3"/>
  <c r="J434" i="3"/>
  <c r="J418" i="3" s="1"/>
  <c r="I435" i="3"/>
  <c r="I433" i="3" s="1"/>
  <c r="I417" i="3" s="1"/>
  <c r="I437" i="3"/>
  <c r="K437" i="3" s="1"/>
  <c r="I438" i="3"/>
  <c r="I439" i="3"/>
  <c r="K439" i="3" s="1"/>
  <c r="I440" i="3"/>
  <c r="K440" i="3" s="1"/>
  <c r="I441" i="3"/>
  <c r="K441" i="3" s="1"/>
  <c r="J442" i="3"/>
  <c r="J443" i="3"/>
  <c r="L445" i="3"/>
  <c r="M445" i="3"/>
  <c r="N445" i="3"/>
  <c r="O445" i="3"/>
  <c r="P445" i="3"/>
  <c r="O448" i="3"/>
  <c r="P448" i="3"/>
  <c r="L449" i="3"/>
  <c r="L447" i="3" s="1"/>
  <c r="N449" i="3"/>
  <c r="N447" i="3" s="1"/>
  <c r="M454" i="3"/>
  <c r="P454" i="3" s="1"/>
  <c r="N454" i="3"/>
  <c r="O455" i="3"/>
  <c r="P455" i="3"/>
  <c r="L456" i="3"/>
  <c r="O456" i="3" s="1"/>
  <c r="P456" i="3"/>
  <c r="K458" i="3"/>
  <c r="I460" i="3"/>
  <c r="I442" i="3" s="1"/>
  <c r="K442" i="3" s="1"/>
  <c r="I462" i="3"/>
  <c r="I463" i="3"/>
  <c r="I464" i="3"/>
  <c r="I465" i="3"/>
  <c r="J465" i="3"/>
  <c r="I466" i="3"/>
  <c r="J466" i="3"/>
  <c r="L468" i="3"/>
  <c r="O468" i="3" s="1"/>
  <c r="M468" i="3"/>
  <c r="N468" i="3"/>
  <c r="P468" i="3"/>
  <c r="O471" i="3"/>
  <c r="P471" i="3"/>
  <c r="L472" i="3"/>
  <c r="L470" i="3" s="1"/>
  <c r="N474" i="3"/>
  <c r="N472" i="3" s="1"/>
  <c r="M477" i="3"/>
  <c r="P477" i="3" s="1"/>
  <c r="N477" i="3"/>
  <c r="O478" i="3"/>
  <c r="P478" i="3"/>
  <c r="L479" i="3"/>
  <c r="L477" i="3" s="1"/>
  <c r="O477" i="3" s="1"/>
  <c r="P479" i="3"/>
  <c r="I483" i="3"/>
  <c r="K483" i="3" s="1"/>
  <c r="I485" i="3"/>
  <c r="K485" i="3" s="1"/>
  <c r="I487" i="3"/>
  <c r="K487" i="3" s="1"/>
  <c r="I489" i="3"/>
  <c r="K489" i="3" s="1"/>
  <c r="I492" i="3"/>
  <c r="K492" i="3" s="1"/>
  <c r="I495" i="3"/>
  <c r="K495" i="3" s="1"/>
  <c r="I498" i="3"/>
  <c r="K498" i="3" s="1"/>
  <c r="J500" i="3"/>
  <c r="K500" i="3"/>
  <c r="K501" i="3"/>
  <c r="L503" i="3"/>
  <c r="M503" i="3"/>
  <c r="P503" i="3" s="1"/>
  <c r="N503" i="3"/>
  <c r="O503" i="3"/>
  <c r="L504" i="3"/>
  <c r="M504" i="3"/>
  <c r="O504" i="3"/>
  <c r="P504" i="3"/>
  <c r="L505" i="3"/>
  <c r="O505" i="3" s="1"/>
  <c r="M505" i="3"/>
  <c r="P505" i="3"/>
  <c r="O506" i="3"/>
  <c r="P506" i="3"/>
  <c r="N507" i="3"/>
  <c r="N505" i="3" s="1"/>
  <c r="O507" i="3"/>
  <c r="P507" i="3"/>
  <c r="L512" i="3"/>
  <c r="O512" i="3" s="1"/>
  <c r="M512" i="3"/>
  <c r="P512" i="3" s="1"/>
  <c r="N512" i="3"/>
  <c r="O513" i="3"/>
  <c r="P513" i="3"/>
  <c r="O514" i="3"/>
  <c r="P514" i="3"/>
  <c r="K516" i="3"/>
  <c r="J517" i="3"/>
  <c r="J501" i="3" s="1"/>
  <c r="K517" i="3"/>
  <c r="L524" i="3"/>
  <c r="O524" i="3" s="1"/>
  <c r="M524" i="3"/>
  <c r="N524" i="3"/>
  <c r="P524" i="3"/>
  <c r="O527" i="3"/>
  <c r="P527" i="3"/>
  <c r="L528" i="3"/>
  <c r="L526" i="3" s="1"/>
  <c r="N528" i="3"/>
  <c r="N526" i="3" s="1"/>
  <c r="M533" i="3"/>
  <c r="P533" i="3" s="1"/>
  <c r="N533" i="3"/>
  <c r="O534" i="3"/>
  <c r="P534" i="3"/>
  <c r="L535" i="3"/>
  <c r="O535" i="3" s="1"/>
  <c r="P535" i="3"/>
  <c r="I537" i="3"/>
  <c r="I522" i="3" s="1"/>
  <c r="I538" i="3"/>
  <c r="K538" i="3" s="1"/>
  <c r="I539" i="3"/>
  <c r="K539" i="3" s="1"/>
  <c r="I540" i="3"/>
  <c r="K540" i="3" s="1"/>
  <c r="I541" i="3"/>
  <c r="K541" i="3" s="1"/>
  <c r="I542" i="3"/>
  <c r="K542" i="3" s="1"/>
  <c r="L545" i="3"/>
  <c r="O548" i="3"/>
  <c r="P548" i="3"/>
  <c r="L549" i="3"/>
  <c r="N549" i="3"/>
  <c r="N547" i="3" s="1"/>
  <c r="M555" i="3"/>
  <c r="N555" i="3"/>
  <c r="N545" i="3" s="1"/>
  <c r="O556" i="3"/>
  <c r="P556" i="3"/>
  <c r="L557" i="3"/>
  <c r="P557" i="3"/>
  <c r="I560" i="3"/>
  <c r="J560" i="3"/>
  <c r="I561" i="3"/>
  <c r="K561" i="3" s="1"/>
  <c r="J561" i="3"/>
  <c r="I568" i="3"/>
  <c r="K568" i="3" s="1"/>
  <c r="J568" i="3"/>
  <c r="I569" i="3"/>
  <c r="J569" i="3"/>
  <c r="I576" i="3"/>
  <c r="I577" i="3"/>
  <c r="J582" i="3"/>
  <c r="J576" i="3" s="1"/>
  <c r="J559" i="3" s="1"/>
  <c r="J543" i="3" s="1"/>
  <c r="J583" i="3"/>
  <c r="J577" i="3" s="1"/>
  <c r="I593" i="3"/>
  <c r="I592" i="3" s="1"/>
  <c r="I594" i="3"/>
  <c r="J595" i="3"/>
  <c r="J593" i="3" s="1"/>
  <c r="J596" i="3"/>
  <c r="J594" i="3" s="1"/>
  <c r="J603" i="3"/>
  <c r="J604" i="3"/>
  <c r="J611" i="3"/>
  <c r="K611" i="3"/>
  <c r="J612" i="3"/>
  <c r="K612" i="3"/>
  <c r="J613" i="3"/>
  <c r="K613" i="3"/>
  <c r="I620" i="3"/>
  <c r="K620" i="3" s="1"/>
  <c r="J620" i="3"/>
  <c r="I621" i="3"/>
  <c r="K621" i="3" s="1"/>
  <c r="J621" i="3"/>
  <c r="L630" i="3"/>
  <c r="O630" i="3" s="1"/>
  <c r="M630" i="3"/>
  <c r="N630" i="3"/>
  <c r="M631" i="3"/>
  <c r="P631" i="3" s="1"/>
  <c r="N631" i="3"/>
  <c r="M632" i="3"/>
  <c r="P632" i="3" s="1"/>
  <c r="O633" i="3"/>
  <c r="P633" i="3"/>
  <c r="L634" i="3"/>
  <c r="N634" i="3"/>
  <c r="N632" i="3" s="1"/>
  <c r="P634" i="3"/>
  <c r="M639" i="3"/>
  <c r="N639" i="3"/>
  <c r="P639" i="3"/>
  <c r="O640" i="3"/>
  <c r="P640" i="3"/>
  <c r="L641" i="3"/>
  <c r="L639" i="3" s="1"/>
  <c r="O639" i="3" s="1"/>
  <c r="P641" i="3"/>
  <c r="I643" i="3"/>
  <c r="K643" i="3" s="1"/>
  <c r="I644" i="3"/>
  <c r="K644" i="3" s="1"/>
  <c r="J645" i="3"/>
  <c r="K645" i="3"/>
  <c r="J646" i="3"/>
  <c r="K646" i="3"/>
  <c r="I647" i="3"/>
  <c r="K647" i="3" s="1"/>
  <c r="J647" i="3"/>
  <c r="J648" i="3"/>
  <c r="K648" i="3"/>
  <c r="I649" i="3"/>
  <c r="K649" i="3" s="1"/>
  <c r="J649" i="3"/>
  <c r="J650" i="3"/>
  <c r="K650" i="3"/>
  <c r="I651" i="3"/>
  <c r="J651" i="3"/>
  <c r="J628" i="3" s="1"/>
  <c r="J652" i="3"/>
  <c r="K652" i="3"/>
  <c r="M655" i="3"/>
  <c r="P655" i="3" s="1"/>
  <c r="L656" i="3"/>
  <c r="M656" i="3"/>
  <c r="N656" i="3"/>
  <c r="P656" i="3"/>
  <c r="M657" i="3"/>
  <c r="P657" i="3" s="1"/>
  <c r="M658" i="3"/>
  <c r="P658" i="3" s="1"/>
  <c r="O659" i="3"/>
  <c r="P659" i="3"/>
  <c r="L660" i="3"/>
  <c r="L657" i="3" s="1"/>
  <c r="O657" i="3" s="1"/>
  <c r="N660" i="3"/>
  <c r="N658" i="3" s="1"/>
  <c r="P660" i="3"/>
  <c r="L665" i="3"/>
  <c r="M665" i="3"/>
  <c r="N665" i="3"/>
  <c r="O665" i="3"/>
  <c r="P665" i="3"/>
  <c r="O666" i="3"/>
  <c r="P666" i="3"/>
  <c r="O667" i="3"/>
  <c r="P667" i="3"/>
  <c r="I669" i="3"/>
  <c r="K672" i="3" s="1"/>
  <c r="I670" i="3"/>
  <c r="K670" i="3" s="1"/>
  <c r="I671" i="3"/>
  <c r="K671" i="3" s="1"/>
  <c r="J675" i="3"/>
  <c r="J669" i="3" s="1"/>
  <c r="J654" i="3" s="1"/>
  <c r="I678" i="3"/>
  <c r="K678" i="3" s="1"/>
  <c r="J678" i="3"/>
  <c r="J679" i="3"/>
  <c r="M685" i="3"/>
  <c r="P685" i="3" s="1"/>
  <c r="L686" i="3"/>
  <c r="O686" i="3" s="1"/>
  <c r="M686" i="3"/>
  <c r="P686" i="3" s="1"/>
  <c r="N686" i="3"/>
  <c r="M687" i="3"/>
  <c r="P687" i="3" s="1"/>
  <c r="M688" i="3"/>
  <c r="P688" i="3" s="1"/>
  <c r="L690" i="3"/>
  <c r="L688" i="3" s="1"/>
  <c r="O688" i="3" s="1"/>
  <c r="N690" i="3"/>
  <c r="N688" i="3" s="1"/>
  <c r="P690" i="3"/>
  <c r="L695" i="3"/>
  <c r="M695" i="3"/>
  <c r="P695" i="3" s="1"/>
  <c r="N695" i="3"/>
  <c r="O695" i="3"/>
  <c r="O696" i="3"/>
  <c r="P696" i="3"/>
  <c r="O697" i="3"/>
  <c r="P697" i="3"/>
  <c r="I699" i="3"/>
  <c r="K699" i="3" s="1"/>
  <c r="J699" i="3"/>
  <c r="I700" i="3"/>
  <c r="K700" i="3" s="1"/>
  <c r="J700" i="3"/>
  <c r="I701" i="3"/>
  <c r="K701" i="3" s="1"/>
  <c r="J701" i="3"/>
  <c r="I704" i="3"/>
  <c r="I707" i="3"/>
  <c r="I708" i="3"/>
  <c r="K708" i="3" s="1"/>
  <c r="J708" i="3"/>
  <c r="J718" i="3"/>
  <c r="J719" i="3"/>
  <c r="I720" i="3"/>
  <c r="K720" i="3" s="1"/>
  <c r="J720" i="3"/>
  <c r="I721" i="3"/>
  <c r="K721" i="3" s="1"/>
  <c r="I722" i="3"/>
  <c r="K722" i="3" s="1"/>
  <c r="I723" i="3"/>
  <c r="K723" i="3" s="1"/>
  <c r="J723" i="3"/>
  <c r="J724" i="3"/>
  <c r="I725" i="3"/>
  <c r="K725" i="3" s="1"/>
  <c r="J725" i="3"/>
  <c r="I726" i="3"/>
  <c r="K726" i="3" s="1"/>
  <c r="J726" i="3"/>
  <c r="J727" i="3"/>
  <c r="I728" i="3"/>
  <c r="K728" i="3" s="1"/>
  <c r="J728" i="3"/>
  <c r="I729" i="3"/>
  <c r="K729" i="3" s="1"/>
  <c r="J729" i="3"/>
  <c r="J736" i="3"/>
  <c r="K736" i="3"/>
  <c r="L738" i="3"/>
  <c r="L737" i="3" s="1"/>
  <c r="O737" i="3" s="1"/>
  <c r="M738" i="3"/>
  <c r="P738" i="3" s="1"/>
  <c r="N738" i="3"/>
  <c r="L739" i="3"/>
  <c r="M739" i="3"/>
  <c r="O739" i="3"/>
  <c r="P739" i="3"/>
  <c r="L740" i="3"/>
  <c r="O740" i="3" s="1"/>
  <c r="M740" i="3"/>
  <c r="N740" i="3"/>
  <c r="P740" i="3"/>
  <c r="O741" i="3"/>
  <c r="P741" i="3"/>
  <c r="N742" i="3"/>
  <c r="N739" i="3" s="1"/>
  <c r="N737" i="3" s="1"/>
  <c r="O742" i="3"/>
  <c r="P742" i="3"/>
  <c r="L747" i="3"/>
  <c r="O747" i="3" s="1"/>
  <c r="M747" i="3"/>
  <c r="P747" i="3" s="1"/>
  <c r="N747" i="3"/>
  <c r="O748" i="3"/>
  <c r="P748" i="3"/>
  <c r="O749" i="3"/>
  <c r="P749" i="3"/>
  <c r="J753" i="3"/>
  <c r="K753" i="3"/>
  <c r="L755" i="3"/>
  <c r="M755" i="3"/>
  <c r="M754" i="3" s="1"/>
  <c r="P754" i="3" s="1"/>
  <c r="N755" i="3"/>
  <c r="N754" i="3" s="1"/>
  <c r="O755" i="3"/>
  <c r="L756" i="3"/>
  <c r="O756" i="3" s="1"/>
  <c r="M756" i="3"/>
  <c r="P756" i="3"/>
  <c r="L757" i="3"/>
  <c r="O757" i="3" s="1"/>
  <c r="M757" i="3"/>
  <c r="P757" i="3" s="1"/>
  <c r="N757" i="3"/>
  <c r="O758" i="3"/>
  <c r="P758" i="3"/>
  <c r="N759" i="3"/>
  <c r="N756" i="3" s="1"/>
  <c r="O759" i="3"/>
  <c r="P759" i="3"/>
  <c r="L764" i="3"/>
  <c r="M764" i="3"/>
  <c r="P764" i="3" s="1"/>
  <c r="N764" i="3"/>
  <c r="O764" i="3"/>
  <c r="O765" i="3"/>
  <c r="P765" i="3"/>
  <c r="O766" i="3"/>
  <c r="P766" i="3"/>
  <c r="J769" i="3"/>
  <c r="K769" i="3"/>
  <c r="L771" i="3"/>
  <c r="L770" i="3" s="1"/>
  <c r="O770" i="3" s="1"/>
  <c r="M771" i="3"/>
  <c r="P771" i="3" s="1"/>
  <c r="N771" i="3"/>
  <c r="N770" i="3" s="1"/>
  <c r="O771" i="3"/>
  <c r="L772" i="3"/>
  <c r="O772" i="3" s="1"/>
  <c r="M772" i="3"/>
  <c r="P772" i="3"/>
  <c r="L773" i="3"/>
  <c r="M773" i="3"/>
  <c r="P773" i="3" s="1"/>
  <c r="O773" i="3"/>
  <c r="O774" i="3"/>
  <c r="P774" i="3"/>
  <c r="N775" i="3"/>
  <c r="N772" i="3" s="1"/>
  <c r="O775" i="3"/>
  <c r="P775" i="3"/>
  <c r="L780" i="3"/>
  <c r="M780" i="3"/>
  <c r="P780" i="3" s="1"/>
  <c r="N780" i="3"/>
  <c r="O780" i="3"/>
  <c r="O781" i="3"/>
  <c r="P781" i="3"/>
  <c r="O782" i="3"/>
  <c r="P782" i="3"/>
  <c r="M786" i="3"/>
  <c r="P786" i="3" s="1"/>
  <c r="L787" i="3"/>
  <c r="O787" i="3" s="1"/>
  <c r="M787" i="3"/>
  <c r="N787" i="3"/>
  <c r="P787" i="3"/>
  <c r="M788" i="3"/>
  <c r="P788" i="3" s="1"/>
  <c r="M789" i="3"/>
  <c r="P789" i="3" s="1"/>
  <c r="O790" i="3"/>
  <c r="P790" i="3"/>
  <c r="L791" i="3"/>
  <c r="L788" i="3" s="1"/>
  <c r="O788" i="3" s="1"/>
  <c r="N791" i="3"/>
  <c r="N789" i="3" s="1"/>
  <c r="P791" i="3"/>
  <c r="L796" i="3"/>
  <c r="O796" i="3" s="1"/>
  <c r="M796" i="3"/>
  <c r="N796" i="3"/>
  <c r="P796" i="3"/>
  <c r="O797" i="3"/>
  <c r="P797" i="3"/>
  <c r="O798" i="3"/>
  <c r="P798" i="3"/>
  <c r="I800" i="3"/>
  <c r="I785" i="3" s="1"/>
  <c r="K785" i="3" s="1"/>
  <c r="J800" i="3"/>
  <c r="J785" i="3" s="1"/>
  <c r="J801" i="3"/>
  <c r="K802" i="3"/>
  <c r="J804" i="3"/>
  <c r="K804" i="3"/>
  <c r="M805" i="3"/>
  <c r="P805" i="3" s="1"/>
  <c r="L806" i="3"/>
  <c r="O806" i="3" s="1"/>
  <c r="M806" i="3"/>
  <c r="P806" i="3" s="1"/>
  <c r="N806" i="3"/>
  <c r="L807" i="3"/>
  <c r="O807" i="3" s="1"/>
  <c r="M807" i="3"/>
  <c r="P807" i="3" s="1"/>
  <c r="L808" i="3"/>
  <c r="O808" i="3" s="1"/>
  <c r="M808" i="3"/>
  <c r="P808" i="3"/>
  <c r="O809" i="3"/>
  <c r="P809" i="3"/>
  <c r="N810" i="3"/>
  <c r="N808" i="3" s="1"/>
  <c r="O810" i="3"/>
  <c r="P810" i="3"/>
  <c r="L815" i="3"/>
  <c r="O815" i="3" s="1"/>
  <c r="M815" i="3"/>
  <c r="P815" i="3" s="1"/>
  <c r="N815" i="3"/>
  <c r="O816" i="3"/>
  <c r="P816" i="3"/>
  <c r="O817" i="3"/>
  <c r="P817" i="3"/>
  <c r="H820" i="3"/>
  <c r="I821" i="3"/>
  <c r="J821" i="3"/>
  <c r="I822" i="3"/>
  <c r="J822" i="3"/>
  <c r="I823" i="3"/>
  <c r="J823" i="3"/>
  <c r="I824" i="3"/>
  <c r="J824" i="3"/>
  <c r="I825" i="3"/>
  <c r="K825" i="3" s="1"/>
  <c r="J825" i="3"/>
  <c r="I826" i="3"/>
  <c r="K826" i="3" s="1"/>
  <c r="J826" i="3"/>
  <c r="I827" i="3"/>
  <c r="J827" i="3"/>
  <c r="I828" i="3"/>
  <c r="J828" i="3"/>
  <c r="L22" i="2"/>
  <c r="M22" i="2"/>
  <c r="N22" i="2"/>
  <c r="L25" i="2"/>
  <c r="L15" i="2" s="1"/>
  <c r="M25" i="2"/>
  <c r="N25" i="2"/>
  <c r="P25" i="2"/>
  <c r="L32" i="2"/>
  <c r="M32" i="2"/>
  <c r="P32" i="2" s="1"/>
  <c r="N32" i="2"/>
  <c r="O32" i="2"/>
  <c r="L35" i="2"/>
  <c r="M35" i="2"/>
  <c r="N35" i="2"/>
  <c r="N34" i="2" s="1"/>
  <c r="M36" i="2"/>
  <c r="N36" i="2"/>
  <c r="L42" i="2"/>
  <c r="M42" i="2"/>
  <c r="P42" i="2" s="1"/>
  <c r="N42" i="2"/>
  <c r="O42" i="2"/>
  <c r="O45" i="2"/>
  <c r="P45" i="2"/>
  <c r="L46" i="2"/>
  <c r="M46" i="2"/>
  <c r="M44" i="2" s="1"/>
  <c r="N46" i="2"/>
  <c r="N44" i="2" s="1"/>
  <c r="O48" i="2"/>
  <c r="P48" i="2"/>
  <c r="L49" i="2"/>
  <c r="O49" i="2" s="1"/>
  <c r="M49" i="2"/>
  <c r="M47" i="2" s="1"/>
  <c r="P47" i="2" s="1"/>
  <c r="N49" i="2"/>
  <c r="N47" i="2" s="1"/>
  <c r="L54" i="2"/>
  <c r="O54" i="2" s="1"/>
  <c r="M54" i="2"/>
  <c r="N54" i="2"/>
  <c r="O57" i="2"/>
  <c r="P57" i="2"/>
  <c r="L58" i="2"/>
  <c r="M58" i="2"/>
  <c r="N58" i="2"/>
  <c r="O60" i="2"/>
  <c r="P60" i="2"/>
  <c r="L61" i="2"/>
  <c r="L59" i="2" s="1"/>
  <c r="O59" i="2" s="1"/>
  <c r="M61" i="2"/>
  <c r="N61" i="2"/>
  <c r="N59" i="2" s="1"/>
  <c r="L67" i="2"/>
  <c r="M67" i="2"/>
  <c r="P67" i="2" s="1"/>
  <c r="N67" i="2"/>
  <c r="O67" i="2"/>
  <c r="O70" i="2"/>
  <c r="P70" i="2"/>
  <c r="L71" i="2"/>
  <c r="L69" i="2" s="1"/>
  <c r="M71" i="2"/>
  <c r="M69" i="2" s="1"/>
  <c r="N71" i="2"/>
  <c r="O73" i="2"/>
  <c r="P73" i="2"/>
  <c r="L74" i="2"/>
  <c r="O74" i="2" s="1"/>
  <c r="M74" i="2"/>
  <c r="M72" i="2" s="1"/>
  <c r="P72" i="2" s="1"/>
  <c r="N74" i="2"/>
  <c r="N72" i="2" s="1"/>
  <c r="J76" i="2"/>
  <c r="J64" i="2" s="1"/>
  <c r="J77" i="2"/>
  <c r="J65" i="2" s="1"/>
  <c r="I78" i="2"/>
  <c r="K78" i="2" s="1"/>
  <c r="I79" i="2"/>
  <c r="I80" i="2"/>
  <c r="I81" i="2"/>
  <c r="K81" i="2" s="1"/>
  <c r="I82" i="2"/>
  <c r="K82" i="2" s="1"/>
  <c r="I83" i="2"/>
  <c r="K83" i="2" s="1"/>
  <c r="I84" i="2"/>
  <c r="K84" i="2" s="1"/>
  <c r="L89" i="2"/>
  <c r="O89" i="2" s="1"/>
  <c r="M89" i="2"/>
  <c r="N89" i="2"/>
  <c r="P89" i="2"/>
  <c r="O92" i="2"/>
  <c r="P92" i="2"/>
  <c r="L93" i="2"/>
  <c r="M93" i="2"/>
  <c r="M91" i="2" s="1"/>
  <c r="N93" i="2"/>
  <c r="N91" i="2" s="1"/>
  <c r="O95" i="2"/>
  <c r="P95" i="2"/>
  <c r="L96" i="2"/>
  <c r="L94" i="2" s="1"/>
  <c r="O94" i="2" s="1"/>
  <c r="M96" i="2"/>
  <c r="P96" i="2" s="1"/>
  <c r="N96" i="2"/>
  <c r="N94" i="2" s="1"/>
  <c r="I98" i="2"/>
  <c r="J98" i="2"/>
  <c r="J86" i="2" s="1"/>
  <c r="I99" i="2"/>
  <c r="I87" i="2" s="1"/>
  <c r="J99" i="2"/>
  <c r="J87" i="2" s="1"/>
  <c r="I100" i="2"/>
  <c r="J100" i="2"/>
  <c r="I102" i="2"/>
  <c r="K102" i="2" s="1"/>
  <c r="I103" i="2"/>
  <c r="K103" i="2" s="1"/>
  <c r="I104" i="2"/>
  <c r="K104" i="2" s="1"/>
  <c r="I106" i="2"/>
  <c r="K106" i="2" s="1"/>
  <c r="I107" i="2"/>
  <c r="K107" i="2" s="1"/>
  <c r="I109" i="2"/>
  <c r="K109" i="2" s="1"/>
  <c r="I110" i="2"/>
  <c r="K110" i="2" s="1"/>
  <c r="I111" i="2"/>
  <c r="K111" i="2" s="1"/>
  <c r="J111" i="2"/>
  <c r="J112" i="2"/>
  <c r="I113" i="2"/>
  <c r="K113" i="2" s="1"/>
  <c r="I114" i="2"/>
  <c r="K114" i="2" s="1"/>
  <c r="I115" i="2"/>
  <c r="I116" i="2"/>
  <c r="K116" i="2" s="1"/>
  <c r="L120" i="2"/>
  <c r="O120" i="2" s="1"/>
  <c r="M120" i="2"/>
  <c r="N120" i="2"/>
  <c r="O123" i="2"/>
  <c r="P123" i="2"/>
  <c r="L124" i="2"/>
  <c r="M124" i="2"/>
  <c r="N124" i="2"/>
  <c r="N122" i="2" s="1"/>
  <c r="O126" i="2"/>
  <c r="P126" i="2"/>
  <c r="L127" i="2"/>
  <c r="L125" i="2" s="1"/>
  <c r="O125" i="2" s="1"/>
  <c r="M127" i="2"/>
  <c r="N127" i="2"/>
  <c r="N125" i="2" s="1"/>
  <c r="J130" i="2"/>
  <c r="L133" i="2"/>
  <c r="M133" i="2"/>
  <c r="N133" i="2"/>
  <c r="P133" i="2"/>
  <c r="O136" i="2"/>
  <c r="P136" i="2"/>
  <c r="L137" i="2"/>
  <c r="L135" i="2" s="1"/>
  <c r="O135" i="2" s="1"/>
  <c r="M137" i="2"/>
  <c r="M135" i="2" s="1"/>
  <c r="P135" i="2" s="1"/>
  <c r="N137" i="2"/>
  <c r="O139" i="2"/>
  <c r="P139" i="2"/>
  <c r="L140" i="2"/>
  <c r="O140" i="2" s="1"/>
  <c r="M140" i="2"/>
  <c r="M138" i="2" s="1"/>
  <c r="P138" i="2" s="1"/>
  <c r="N140" i="2"/>
  <c r="N138" i="2" s="1"/>
  <c r="I144" i="2"/>
  <c r="I145" i="2"/>
  <c r="I146" i="2"/>
  <c r="I130" i="2" s="1"/>
  <c r="K130" i="2" s="1"/>
  <c r="J148" i="2"/>
  <c r="L150" i="2"/>
  <c r="O150" i="2" s="1"/>
  <c r="M150" i="2"/>
  <c r="N150" i="2"/>
  <c r="O153" i="2"/>
  <c r="P153" i="2"/>
  <c r="L154" i="2"/>
  <c r="O154" i="2" s="1"/>
  <c r="M154" i="2"/>
  <c r="N154" i="2"/>
  <c r="N152" i="2" s="1"/>
  <c r="O156" i="2"/>
  <c r="P156" i="2"/>
  <c r="L157" i="2"/>
  <c r="L155" i="2" s="1"/>
  <c r="O155" i="2" s="1"/>
  <c r="M157" i="2"/>
  <c r="N157" i="2"/>
  <c r="N155" i="2" s="1"/>
  <c r="I159" i="2"/>
  <c r="I148" i="2" s="1"/>
  <c r="K148" i="2" s="1"/>
  <c r="J164" i="2"/>
  <c r="L166" i="2"/>
  <c r="O166" i="2" s="1"/>
  <c r="M166" i="2"/>
  <c r="P166" i="2" s="1"/>
  <c r="N166" i="2"/>
  <c r="O169" i="2"/>
  <c r="P169" i="2"/>
  <c r="L170" i="2"/>
  <c r="O170" i="2" s="1"/>
  <c r="M170" i="2"/>
  <c r="M168" i="2" s="1"/>
  <c r="N170" i="2"/>
  <c r="N168" i="2" s="1"/>
  <c r="O172" i="2"/>
  <c r="P172" i="2"/>
  <c r="L173" i="2"/>
  <c r="O173" i="2" s="1"/>
  <c r="M173" i="2"/>
  <c r="P173" i="2" s="1"/>
  <c r="N173" i="2"/>
  <c r="N171" i="2" s="1"/>
  <c r="J174" i="2"/>
  <c r="I176" i="2"/>
  <c r="K176" i="2" s="1"/>
  <c r="J177" i="2"/>
  <c r="L182" i="2"/>
  <c r="O182" i="2" s="1"/>
  <c r="M182" i="2"/>
  <c r="N182" i="2"/>
  <c r="P182" i="2"/>
  <c r="O185" i="2"/>
  <c r="P185" i="2"/>
  <c r="L186" i="2"/>
  <c r="M186" i="2"/>
  <c r="N186" i="2"/>
  <c r="N184" i="2" s="1"/>
  <c r="O188" i="2"/>
  <c r="P188" i="2"/>
  <c r="L189" i="2"/>
  <c r="M189" i="2"/>
  <c r="P189" i="2" s="1"/>
  <c r="N189" i="2"/>
  <c r="N187" i="2" s="1"/>
  <c r="J190" i="2"/>
  <c r="L191" i="2"/>
  <c r="O191" i="2" s="1"/>
  <c r="P191" i="2"/>
  <c r="I193" i="2"/>
  <c r="I190" i="2" s="1"/>
  <c r="J194" i="2"/>
  <c r="J197" i="2"/>
  <c r="N198" i="2"/>
  <c r="P198" i="2"/>
  <c r="L199" i="2"/>
  <c r="L200" i="2"/>
  <c r="L201" i="2"/>
  <c r="L202" i="2"/>
  <c r="I204" i="2"/>
  <c r="K204" i="2" s="1"/>
  <c r="K206" i="2"/>
  <c r="K207" i="2"/>
  <c r="J208" i="2"/>
  <c r="N209" i="2"/>
  <c r="P209" i="2"/>
  <c r="L210" i="2"/>
  <c r="L211" i="2"/>
  <c r="L212" i="2"/>
  <c r="I214" i="2"/>
  <c r="K214" i="2" s="1"/>
  <c r="I215" i="2"/>
  <c r="K215" i="2" s="1"/>
  <c r="J216" i="2"/>
  <c r="N217" i="2"/>
  <c r="P217" i="2"/>
  <c r="L218" i="2"/>
  <c r="L219" i="2"/>
  <c r="L220" i="2"/>
  <c r="I223" i="2"/>
  <c r="K223" i="2" s="1"/>
  <c r="I224" i="2"/>
  <c r="I216" i="2" s="1"/>
  <c r="I225" i="2"/>
  <c r="K225" i="2" s="1"/>
  <c r="N228" i="2"/>
  <c r="N229" i="2"/>
  <c r="N230" i="2"/>
  <c r="N231" i="2"/>
  <c r="J233" i="2"/>
  <c r="I235" i="2"/>
  <c r="J235" i="2"/>
  <c r="K235" i="2"/>
  <c r="I236" i="2"/>
  <c r="K236" i="2" s="1"/>
  <c r="J236" i="2"/>
  <c r="J237" i="2"/>
  <c r="J226" i="2" s="1"/>
  <c r="J180" i="2" s="1"/>
  <c r="N238" i="2"/>
  <c r="N227" i="2" s="1"/>
  <c r="P238" i="2"/>
  <c r="L239" i="2"/>
  <c r="L240" i="2"/>
  <c r="L241" i="2"/>
  <c r="L242" i="2"/>
  <c r="I244" i="2"/>
  <c r="K246" i="2"/>
  <c r="K247" i="2"/>
  <c r="J248" i="2"/>
  <c r="N249" i="2"/>
  <c r="P249" i="2"/>
  <c r="L250" i="2"/>
  <c r="L251" i="2"/>
  <c r="L252" i="2"/>
  <c r="L253" i="2"/>
  <c r="I255" i="2"/>
  <c r="K255" i="2" s="1"/>
  <c r="K257" i="2"/>
  <c r="K258" i="2"/>
  <c r="J260" i="2"/>
  <c r="L262" i="2"/>
  <c r="O262" i="2" s="1"/>
  <c r="M262" i="2"/>
  <c r="N262" i="2"/>
  <c r="O265" i="2"/>
  <c r="P265" i="2"/>
  <c r="L266" i="2"/>
  <c r="L264" i="2" s="1"/>
  <c r="M266" i="2"/>
  <c r="M264" i="2" s="1"/>
  <c r="N266" i="2"/>
  <c r="N264" i="2" s="1"/>
  <c r="O268" i="2"/>
  <c r="P268" i="2"/>
  <c r="L269" i="2"/>
  <c r="L267" i="2" s="1"/>
  <c r="O267" i="2" s="1"/>
  <c r="M269" i="2"/>
  <c r="M267" i="2" s="1"/>
  <c r="P267" i="2" s="1"/>
  <c r="N269" i="2"/>
  <c r="N267" i="2" s="1"/>
  <c r="I271" i="2"/>
  <c r="I260" i="2" s="1"/>
  <c r="J276" i="2"/>
  <c r="L278" i="2"/>
  <c r="O278" i="2" s="1"/>
  <c r="M278" i="2"/>
  <c r="N278" i="2"/>
  <c r="O281" i="2"/>
  <c r="P281" i="2"/>
  <c r="L282" i="2"/>
  <c r="L280" i="2" s="1"/>
  <c r="M282" i="2"/>
  <c r="M280" i="2" s="1"/>
  <c r="N282" i="2"/>
  <c r="O284" i="2"/>
  <c r="P284" i="2"/>
  <c r="L285" i="2"/>
  <c r="L283" i="2" s="1"/>
  <c r="O283" i="2" s="1"/>
  <c r="M285" i="2"/>
  <c r="M283" i="2" s="1"/>
  <c r="P283" i="2" s="1"/>
  <c r="N285" i="2"/>
  <c r="N283" i="2" s="1"/>
  <c r="I287" i="2"/>
  <c r="K287" i="2" s="1"/>
  <c r="I288" i="2"/>
  <c r="J288" i="2" s="1"/>
  <c r="J275" i="2" s="1"/>
  <c r="I290" i="2"/>
  <c r="K290" i="2" s="1"/>
  <c r="I291" i="2"/>
  <c r="K291" i="2" s="1"/>
  <c r="I293" i="2"/>
  <c r="K293" i="2" s="1"/>
  <c r="I294" i="2"/>
  <c r="K294" i="2" s="1"/>
  <c r="J297" i="2"/>
  <c r="L299" i="2"/>
  <c r="O299" i="2" s="1"/>
  <c r="M299" i="2"/>
  <c r="N299" i="2"/>
  <c r="O302" i="2"/>
  <c r="P302" i="2"/>
  <c r="L303" i="2"/>
  <c r="M303" i="2"/>
  <c r="P303" i="2" s="1"/>
  <c r="N303" i="2"/>
  <c r="N301" i="2" s="1"/>
  <c r="O305" i="2"/>
  <c r="P305" i="2"/>
  <c r="L306" i="2"/>
  <c r="O306" i="2" s="1"/>
  <c r="M306" i="2"/>
  <c r="P306" i="2" s="1"/>
  <c r="N306" i="2"/>
  <c r="N304" i="2" s="1"/>
  <c r="I309" i="2"/>
  <c r="I297" i="2" s="1"/>
  <c r="K297" i="2" s="1"/>
  <c r="I310" i="2"/>
  <c r="K310" i="2" s="1"/>
  <c r="I311" i="2"/>
  <c r="K311" i="2" s="1"/>
  <c r="I312" i="2"/>
  <c r="K312" i="2" s="1"/>
  <c r="J314" i="2"/>
  <c r="L316" i="2"/>
  <c r="O316" i="2" s="1"/>
  <c r="M316" i="2"/>
  <c r="N316" i="2"/>
  <c r="P316" i="2"/>
  <c r="O319" i="2"/>
  <c r="P319" i="2"/>
  <c r="L320" i="2"/>
  <c r="M320" i="2"/>
  <c r="N320" i="2"/>
  <c r="N318" i="2" s="1"/>
  <c r="O322" i="2"/>
  <c r="P322" i="2"/>
  <c r="L323" i="2"/>
  <c r="M323" i="2"/>
  <c r="N323" i="2"/>
  <c r="N321" i="2" s="1"/>
  <c r="I325" i="2"/>
  <c r="I314" i="2" s="1"/>
  <c r="I327" i="2"/>
  <c r="L329" i="2"/>
  <c r="M329" i="2"/>
  <c r="P329" i="2" s="1"/>
  <c r="N329" i="2"/>
  <c r="O329" i="2"/>
  <c r="O332" i="2"/>
  <c r="P332" i="2"/>
  <c r="L333" i="2"/>
  <c r="L331" i="2" s="1"/>
  <c r="M333" i="2"/>
  <c r="N333" i="2"/>
  <c r="O335" i="2"/>
  <c r="P335" i="2"/>
  <c r="L336" i="2"/>
  <c r="L334" i="2" s="1"/>
  <c r="O334" i="2" s="1"/>
  <c r="M336" i="2"/>
  <c r="M334" i="2" s="1"/>
  <c r="P334" i="2" s="1"/>
  <c r="N336" i="2"/>
  <c r="N334" i="2" s="1"/>
  <c r="D337" i="2"/>
  <c r="I338" i="2"/>
  <c r="J338" i="2"/>
  <c r="I340" i="2"/>
  <c r="J340" i="2"/>
  <c r="J341" i="2"/>
  <c r="J342" i="2"/>
  <c r="J343" i="2"/>
  <c r="L346" i="2"/>
  <c r="O346" i="2" s="1"/>
  <c r="M346" i="2"/>
  <c r="P346" i="2" s="1"/>
  <c r="N346" i="2"/>
  <c r="O349" i="2"/>
  <c r="P349" i="2"/>
  <c r="L350" i="2"/>
  <c r="L348" i="2" s="1"/>
  <c r="M350" i="2"/>
  <c r="M348" i="2" s="1"/>
  <c r="N350" i="2"/>
  <c r="O352" i="2"/>
  <c r="P352" i="2"/>
  <c r="L353" i="2"/>
  <c r="L351" i="2" s="1"/>
  <c r="M353" i="2"/>
  <c r="M351" i="2" s="1"/>
  <c r="N353" i="2"/>
  <c r="I355" i="2"/>
  <c r="J358" i="2"/>
  <c r="K358" i="2"/>
  <c r="I359" i="2"/>
  <c r="J359" i="2"/>
  <c r="I360" i="2"/>
  <c r="J360" i="2"/>
  <c r="J361" i="2"/>
  <c r="K361" i="2"/>
  <c r="I362" i="2"/>
  <c r="J362" i="2"/>
  <c r="J355" i="2" s="1"/>
  <c r="J363" i="2"/>
  <c r="K363" i="2"/>
  <c r="I365" i="2"/>
  <c r="J368" i="2"/>
  <c r="K368" i="2"/>
  <c r="I369" i="2"/>
  <c r="J369" i="2"/>
  <c r="I370" i="2"/>
  <c r="J370" i="2"/>
  <c r="J371" i="2"/>
  <c r="K371" i="2"/>
  <c r="I372" i="2"/>
  <c r="J372" i="2"/>
  <c r="J365" i="2" s="1"/>
  <c r="A373" i="2"/>
  <c r="J373" i="2"/>
  <c r="K373" i="2"/>
  <c r="I374" i="2"/>
  <c r="J377" i="2"/>
  <c r="K377" i="2"/>
  <c r="I378" i="2"/>
  <c r="J378" i="2"/>
  <c r="I379" i="2"/>
  <c r="J379" i="2"/>
  <c r="J380" i="2"/>
  <c r="K380" i="2"/>
  <c r="I381" i="2"/>
  <c r="J381" i="2"/>
  <c r="J374" i="2" s="1"/>
  <c r="A382" i="2"/>
  <c r="J382" i="2"/>
  <c r="K382" i="2"/>
  <c r="D384" i="2"/>
  <c r="I385" i="2"/>
  <c r="J385" i="2"/>
  <c r="I388" i="2"/>
  <c r="K388" i="2" s="1"/>
  <c r="J388" i="2"/>
  <c r="L390" i="2"/>
  <c r="M390" i="2"/>
  <c r="P390" i="2" s="1"/>
  <c r="N390" i="2"/>
  <c r="O393" i="2"/>
  <c r="P393" i="2"/>
  <c r="L394" i="2"/>
  <c r="M394" i="2"/>
  <c r="M392" i="2" s="1"/>
  <c r="P392" i="2" s="1"/>
  <c r="N394" i="2"/>
  <c r="O396" i="2"/>
  <c r="P396" i="2"/>
  <c r="L397" i="2"/>
  <c r="M397" i="2"/>
  <c r="N397" i="2"/>
  <c r="N395" i="2" s="1"/>
  <c r="K399" i="2"/>
  <c r="K400" i="2"/>
  <c r="I401" i="2"/>
  <c r="K401" i="2" s="1"/>
  <c r="J401" i="2"/>
  <c r="L403" i="2"/>
  <c r="O403" i="2" s="1"/>
  <c r="M403" i="2"/>
  <c r="N403" i="2"/>
  <c r="P403" i="2"/>
  <c r="O406" i="2"/>
  <c r="P406" i="2"/>
  <c r="L407" i="2"/>
  <c r="L405" i="2" s="1"/>
  <c r="O405" i="2" s="1"/>
  <c r="M407" i="2"/>
  <c r="M405" i="2" s="1"/>
  <c r="P405" i="2" s="1"/>
  <c r="N407" i="2"/>
  <c r="N405" i="2" s="1"/>
  <c r="O409" i="2"/>
  <c r="P409" i="2"/>
  <c r="L410" i="2"/>
  <c r="L408" i="2" s="1"/>
  <c r="M410" i="2"/>
  <c r="N410" i="2"/>
  <c r="N408" i="2" s="1"/>
  <c r="K412" i="2"/>
  <c r="K413" i="2"/>
  <c r="L420" i="2"/>
  <c r="M420" i="2"/>
  <c r="P420" i="2" s="1"/>
  <c r="N420" i="2"/>
  <c r="N422" i="2"/>
  <c r="O423" i="2"/>
  <c r="P423" i="2"/>
  <c r="L424" i="2"/>
  <c r="N424" i="2"/>
  <c r="M429" i="2"/>
  <c r="P429" i="2" s="1"/>
  <c r="N429" i="2"/>
  <c r="O430" i="2"/>
  <c r="P430" i="2"/>
  <c r="L431" i="2"/>
  <c r="P431" i="2"/>
  <c r="J434" i="2"/>
  <c r="J418" i="2" s="1"/>
  <c r="I435" i="2"/>
  <c r="I433" i="2" s="1"/>
  <c r="I437" i="2"/>
  <c r="K437" i="2" s="1"/>
  <c r="I438" i="2"/>
  <c r="K438" i="2" s="1"/>
  <c r="I439" i="2"/>
  <c r="K439" i="2" s="1"/>
  <c r="I440" i="2"/>
  <c r="K440" i="2" s="1"/>
  <c r="I441" i="2"/>
  <c r="K441" i="2" s="1"/>
  <c r="J442" i="2"/>
  <c r="J443" i="2"/>
  <c r="L445" i="2"/>
  <c r="O445" i="2" s="1"/>
  <c r="M445" i="2"/>
  <c r="M444" i="2" s="1"/>
  <c r="P444" i="2" s="1"/>
  <c r="N445" i="2"/>
  <c r="P445" i="2"/>
  <c r="M446" i="2"/>
  <c r="P446" i="2" s="1"/>
  <c r="M447" i="2"/>
  <c r="P447" i="2" s="1"/>
  <c r="O448" i="2"/>
  <c r="P448" i="2"/>
  <c r="L449" i="2"/>
  <c r="L447" i="2" s="1"/>
  <c r="O447" i="2" s="1"/>
  <c r="N449" i="2"/>
  <c r="N447" i="2" s="1"/>
  <c r="P449" i="2"/>
  <c r="M454" i="2"/>
  <c r="P454" i="2" s="1"/>
  <c r="N454" i="2"/>
  <c r="O455" i="2"/>
  <c r="P455" i="2"/>
  <c r="L456" i="2"/>
  <c r="O456" i="2" s="1"/>
  <c r="P456" i="2"/>
  <c r="K458" i="2"/>
  <c r="I460" i="2"/>
  <c r="I442" i="2" s="1"/>
  <c r="K442" i="2" s="1"/>
  <c r="I462" i="2"/>
  <c r="K462" i="2" s="1"/>
  <c r="I463" i="2"/>
  <c r="I464" i="2"/>
  <c r="I465" i="2"/>
  <c r="J465" i="2"/>
  <c r="I466" i="2"/>
  <c r="K466" i="2" s="1"/>
  <c r="J466" i="2"/>
  <c r="L468" i="2"/>
  <c r="M468" i="2"/>
  <c r="P468" i="2" s="1"/>
  <c r="N468" i="2"/>
  <c r="O468" i="2"/>
  <c r="N470" i="2"/>
  <c r="O471" i="2"/>
  <c r="P471" i="2"/>
  <c r="L472" i="2"/>
  <c r="L470" i="2" s="1"/>
  <c r="O470" i="2" s="1"/>
  <c r="N472" i="2"/>
  <c r="N469" i="2" s="1"/>
  <c r="N467" i="2" s="1"/>
  <c r="M477" i="2"/>
  <c r="N477" i="2"/>
  <c r="P477" i="2"/>
  <c r="O478" i="2"/>
  <c r="P478" i="2"/>
  <c r="L479" i="2"/>
  <c r="O479" i="2" s="1"/>
  <c r="P479" i="2"/>
  <c r="I483" i="2"/>
  <c r="K483" i="2" s="1"/>
  <c r="I485" i="2"/>
  <c r="K485" i="2" s="1"/>
  <c r="I487" i="2"/>
  <c r="K487" i="2" s="1"/>
  <c r="I489" i="2"/>
  <c r="K489" i="2" s="1"/>
  <c r="I492" i="2"/>
  <c r="K492" i="2" s="1"/>
  <c r="I495" i="2"/>
  <c r="K495" i="2" s="1"/>
  <c r="I498" i="2"/>
  <c r="K498" i="2" s="1"/>
  <c r="J500" i="2"/>
  <c r="K500" i="2"/>
  <c r="K501" i="2"/>
  <c r="L502" i="2"/>
  <c r="O502" i="2" s="1"/>
  <c r="L503" i="2"/>
  <c r="M503" i="2"/>
  <c r="P503" i="2" s="1"/>
  <c r="N503" i="2"/>
  <c r="O503" i="2"/>
  <c r="L504" i="2"/>
  <c r="M504" i="2"/>
  <c r="P504" i="2" s="1"/>
  <c r="O504" i="2"/>
  <c r="L505" i="2"/>
  <c r="M505" i="2"/>
  <c r="O505" i="2"/>
  <c r="P505" i="2"/>
  <c r="O506" i="2"/>
  <c r="P506" i="2"/>
  <c r="N507" i="2"/>
  <c r="N505" i="2" s="1"/>
  <c r="O507" i="2"/>
  <c r="P507" i="2"/>
  <c r="L512" i="2"/>
  <c r="O512" i="2" s="1"/>
  <c r="M512" i="2"/>
  <c r="P512" i="2" s="1"/>
  <c r="N512" i="2"/>
  <c r="O513" i="2"/>
  <c r="P513" i="2"/>
  <c r="O514" i="2"/>
  <c r="P514" i="2"/>
  <c r="K516" i="2"/>
  <c r="J517" i="2"/>
  <c r="J501" i="2" s="1"/>
  <c r="K517" i="2"/>
  <c r="L524" i="2"/>
  <c r="M524" i="2"/>
  <c r="N524" i="2"/>
  <c r="P524" i="2"/>
  <c r="O527" i="2"/>
  <c r="P527" i="2"/>
  <c r="L528" i="2"/>
  <c r="L526" i="2" s="1"/>
  <c r="O526" i="2" s="1"/>
  <c r="N528" i="2"/>
  <c r="N526" i="2" s="1"/>
  <c r="M533" i="2"/>
  <c r="P533" i="2" s="1"/>
  <c r="N533" i="2"/>
  <c r="O534" i="2"/>
  <c r="P534" i="2"/>
  <c r="L535" i="2"/>
  <c r="O535" i="2" s="1"/>
  <c r="P535" i="2"/>
  <c r="I537" i="2"/>
  <c r="I522" i="2" s="1"/>
  <c r="I538" i="2"/>
  <c r="K538" i="2" s="1"/>
  <c r="I539" i="2"/>
  <c r="K539" i="2" s="1"/>
  <c r="I540" i="2"/>
  <c r="K540" i="2" s="1"/>
  <c r="I541" i="2"/>
  <c r="K541" i="2" s="1"/>
  <c r="I542" i="2"/>
  <c r="K542" i="2" s="1"/>
  <c r="L545" i="2"/>
  <c r="O548" i="2"/>
  <c r="P548" i="2"/>
  <c r="L549" i="2"/>
  <c r="N553" i="2"/>
  <c r="N549" i="2" s="1"/>
  <c r="M555" i="2"/>
  <c r="N555" i="2"/>
  <c r="N545" i="2" s="1"/>
  <c r="O556" i="2"/>
  <c r="P556" i="2"/>
  <c r="L557" i="2"/>
  <c r="P557" i="2"/>
  <c r="I560" i="2"/>
  <c r="J560" i="2"/>
  <c r="I561" i="2"/>
  <c r="K561" i="2" s="1"/>
  <c r="J561" i="2"/>
  <c r="I568" i="2"/>
  <c r="J568" i="2"/>
  <c r="I569" i="2"/>
  <c r="K569" i="2" s="1"/>
  <c r="J569" i="2"/>
  <c r="I576" i="2"/>
  <c r="I559" i="2" s="1"/>
  <c r="I543" i="2" s="1"/>
  <c r="I577" i="2"/>
  <c r="J582" i="2"/>
  <c r="J576" i="2" s="1"/>
  <c r="J583" i="2"/>
  <c r="J577" i="2" s="1"/>
  <c r="I593" i="2"/>
  <c r="I592" i="2" s="1"/>
  <c r="I594" i="2"/>
  <c r="J595" i="2"/>
  <c r="J596" i="2"/>
  <c r="J603" i="2"/>
  <c r="J604" i="2"/>
  <c r="J611" i="2"/>
  <c r="K611" i="2"/>
  <c r="J612" i="2"/>
  <c r="K612" i="2"/>
  <c r="J613" i="2"/>
  <c r="K613" i="2"/>
  <c r="I620" i="2"/>
  <c r="J620" i="2"/>
  <c r="I621" i="2"/>
  <c r="J621" i="2"/>
  <c r="L630" i="2"/>
  <c r="O630" i="2" s="1"/>
  <c r="M630" i="2"/>
  <c r="P630" i="2" s="1"/>
  <c r="N630" i="2"/>
  <c r="N632" i="2"/>
  <c r="O633" i="2"/>
  <c r="P633" i="2"/>
  <c r="L634" i="2"/>
  <c r="L632" i="2" s="1"/>
  <c r="N634" i="2"/>
  <c r="N631" i="2" s="1"/>
  <c r="M639" i="2"/>
  <c r="P639" i="2" s="1"/>
  <c r="N639" i="2"/>
  <c r="O640" i="2"/>
  <c r="P640" i="2"/>
  <c r="L641" i="2"/>
  <c r="L639" i="2" s="1"/>
  <c r="O639" i="2" s="1"/>
  <c r="P641" i="2"/>
  <c r="I643" i="2"/>
  <c r="K643" i="2" s="1"/>
  <c r="I644" i="2"/>
  <c r="K644" i="2" s="1"/>
  <c r="J645" i="2"/>
  <c r="K645" i="2"/>
  <c r="J646" i="2"/>
  <c r="K646" i="2"/>
  <c r="I647" i="2"/>
  <c r="K647" i="2" s="1"/>
  <c r="J647" i="2"/>
  <c r="J648" i="2"/>
  <c r="K648" i="2"/>
  <c r="I649" i="2"/>
  <c r="K649" i="2" s="1"/>
  <c r="J649" i="2"/>
  <c r="J650" i="2"/>
  <c r="K650" i="2"/>
  <c r="I651" i="2"/>
  <c r="J651" i="2"/>
  <c r="J628" i="2" s="1"/>
  <c r="A652" i="2"/>
  <c r="J652" i="2"/>
  <c r="K652" i="2"/>
  <c r="L656" i="2"/>
  <c r="O656" i="2" s="1"/>
  <c r="M656" i="2"/>
  <c r="P656" i="2" s="1"/>
  <c r="N656" i="2"/>
  <c r="M657" i="2"/>
  <c r="P657" i="2"/>
  <c r="M658" i="2"/>
  <c r="P658" i="2" s="1"/>
  <c r="O659" i="2"/>
  <c r="P659" i="2"/>
  <c r="L660" i="2"/>
  <c r="L658" i="2" s="1"/>
  <c r="O658" i="2" s="1"/>
  <c r="N660" i="2"/>
  <c r="N658" i="2" s="1"/>
  <c r="P660" i="2"/>
  <c r="L665" i="2"/>
  <c r="O665" i="2" s="1"/>
  <c r="M665" i="2"/>
  <c r="P665" i="2" s="1"/>
  <c r="N665" i="2"/>
  <c r="O666" i="2"/>
  <c r="P666" i="2"/>
  <c r="O667" i="2"/>
  <c r="P667" i="2"/>
  <c r="I669" i="2"/>
  <c r="K675" i="2" s="1"/>
  <c r="J669" i="2"/>
  <c r="J654" i="2" s="1"/>
  <c r="I670" i="2"/>
  <c r="K670" i="2" s="1"/>
  <c r="I671" i="2"/>
  <c r="K671" i="2" s="1"/>
  <c r="J675" i="2"/>
  <c r="I678" i="2"/>
  <c r="K678" i="2" s="1"/>
  <c r="J679" i="2"/>
  <c r="J678" i="2" s="1"/>
  <c r="L686" i="2"/>
  <c r="M686" i="2"/>
  <c r="N686" i="2"/>
  <c r="P686" i="2"/>
  <c r="M687" i="2"/>
  <c r="P687" i="2" s="1"/>
  <c r="M688" i="2"/>
  <c r="P688" i="2" s="1"/>
  <c r="L690" i="2"/>
  <c r="L688" i="2" s="1"/>
  <c r="O688" i="2" s="1"/>
  <c r="N690" i="2"/>
  <c r="N687" i="2" s="1"/>
  <c r="N685" i="2" s="1"/>
  <c r="P690" i="2"/>
  <c r="L695" i="2"/>
  <c r="O695" i="2" s="1"/>
  <c r="M695" i="2"/>
  <c r="N695" i="2"/>
  <c r="P695" i="2"/>
  <c r="O696" i="2"/>
  <c r="P696" i="2"/>
  <c r="O697" i="2"/>
  <c r="P697" i="2"/>
  <c r="I699" i="2"/>
  <c r="K699" i="2" s="1"/>
  <c r="J699" i="2"/>
  <c r="I700" i="2"/>
  <c r="K700" i="2" s="1"/>
  <c r="J700" i="2"/>
  <c r="I701" i="2"/>
  <c r="K701" i="2" s="1"/>
  <c r="J701" i="2"/>
  <c r="I704" i="2"/>
  <c r="I707" i="2"/>
  <c r="I708" i="2"/>
  <c r="K708" i="2" s="1"/>
  <c r="J708" i="2"/>
  <c r="J718" i="2"/>
  <c r="J719" i="2"/>
  <c r="I720" i="2"/>
  <c r="K720" i="2" s="1"/>
  <c r="J720" i="2"/>
  <c r="I721" i="2"/>
  <c r="K721" i="2" s="1"/>
  <c r="I722" i="2"/>
  <c r="K722" i="2" s="1"/>
  <c r="I723" i="2"/>
  <c r="K723" i="2" s="1"/>
  <c r="J723" i="2"/>
  <c r="J724" i="2"/>
  <c r="I725" i="2"/>
  <c r="K725" i="2" s="1"/>
  <c r="J725" i="2"/>
  <c r="I726" i="2"/>
  <c r="K726" i="2" s="1"/>
  <c r="J726" i="2"/>
  <c r="J727" i="2"/>
  <c r="I728" i="2"/>
  <c r="K728" i="2" s="1"/>
  <c r="J728" i="2"/>
  <c r="I729" i="2"/>
  <c r="K729" i="2" s="1"/>
  <c r="J729" i="2"/>
  <c r="J736" i="2"/>
  <c r="K736" i="2"/>
  <c r="L737" i="2"/>
  <c r="O737" i="2" s="1"/>
  <c r="L738" i="2"/>
  <c r="O738" i="2" s="1"/>
  <c r="M738" i="2"/>
  <c r="N738" i="2"/>
  <c r="L739" i="2"/>
  <c r="O739" i="2" s="1"/>
  <c r="M739" i="2"/>
  <c r="P739" i="2" s="1"/>
  <c r="L740" i="2"/>
  <c r="M740" i="2"/>
  <c r="P740" i="2" s="1"/>
  <c r="O740" i="2"/>
  <c r="O741" i="2"/>
  <c r="P741" i="2"/>
  <c r="N742" i="2"/>
  <c r="N740" i="2" s="1"/>
  <c r="O742" i="2"/>
  <c r="P742" i="2"/>
  <c r="L747" i="2"/>
  <c r="O747" i="2" s="1"/>
  <c r="M747" i="2"/>
  <c r="N747" i="2"/>
  <c r="P747" i="2"/>
  <c r="O748" i="2"/>
  <c r="P748" i="2"/>
  <c r="O749" i="2"/>
  <c r="P749" i="2"/>
  <c r="J753" i="2"/>
  <c r="K753" i="2"/>
  <c r="L755" i="2"/>
  <c r="O755" i="2" s="1"/>
  <c r="M755" i="2"/>
  <c r="N755" i="2"/>
  <c r="L756" i="2"/>
  <c r="O756" i="2" s="1"/>
  <c r="M756" i="2"/>
  <c r="P756" i="2" s="1"/>
  <c r="L757" i="2"/>
  <c r="O757" i="2" s="1"/>
  <c r="M757" i="2"/>
  <c r="P757" i="2" s="1"/>
  <c r="O758" i="2"/>
  <c r="P758" i="2"/>
  <c r="N759" i="2"/>
  <c r="N757" i="2" s="1"/>
  <c r="O759" i="2"/>
  <c r="P759" i="2"/>
  <c r="L764" i="2"/>
  <c r="O764" i="2" s="1"/>
  <c r="M764" i="2"/>
  <c r="N764" i="2"/>
  <c r="P764" i="2"/>
  <c r="O765" i="2"/>
  <c r="P765" i="2"/>
  <c r="O766" i="2"/>
  <c r="P766" i="2"/>
  <c r="J769" i="2"/>
  <c r="K769" i="2"/>
  <c r="L771" i="2"/>
  <c r="O771" i="2" s="1"/>
  <c r="M771" i="2"/>
  <c r="N771" i="2"/>
  <c r="L772" i="2"/>
  <c r="O772" i="2" s="1"/>
  <c r="M772" i="2"/>
  <c r="P772" i="2" s="1"/>
  <c r="L773" i="2"/>
  <c r="O773" i="2" s="1"/>
  <c r="M773" i="2"/>
  <c r="P773" i="2" s="1"/>
  <c r="O774" i="2"/>
  <c r="P774" i="2"/>
  <c r="N775" i="2"/>
  <c r="N773" i="2" s="1"/>
  <c r="O775" i="2"/>
  <c r="P775" i="2"/>
  <c r="L780" i="2"/>
  <c r="O780" i="2" s="1"/>
  <c r="M780" i="2"/>
  <c r="N780" i="2"/>
  <c r="P780" i="2"/>
  <c r="O781" i="2"/>
  <c r="P781" i="2"/>
  <c r="O782" i="2"/>
  <c r="P782" i="2"/>
  <c r="L787" i="2"/>
  <c r="M787" i="2"/>
  <c r="M786" i="2" s="1"/>
  <c r="P786" i="2" s="1"/>
  <c r="N787" i="2"/>
  <c r="M788" i="2"/>
  <c r="P788" i="2" s="1"/>
  <c r="M789" i="2"/>
  <c r="P789" i="2" s="1"/>
  <c r="O790" i="2"/>
  <c r="P790" i="2"/>
  <c r="L791" i="2"/>
  <c r="L788" i="2" s="1"/>
  <c r="O788" i="2" s="1"/>
  <c r="N791" i="2"/>
  <c r="N788" i="2" s="1"/>
  <c r="P791" i="2"/>
  <c r="L796" i="2"/>
  <c r="O796" i="2" s="1"/>
  <c r="M796" i="2"/>
  <c r="P796" i="2" s="1"/>
  <c r="N796" i="2"/>
  <c r="O797" i="2"/>
  <c r="P797" i="2"/>
  <c r="O798" i="2"/>
  <c r="P798" i="2"/>
  <c r="I800" i="2"/>
  <c r="K800" i="2" s="1"/>
  <c r="J800" i="2"/>
  <c r="J785" i="2" s="1"/>
  <c r="J801" i="2"/>
  <c r="K802" i="2"/>
  <c r="J804" i="2"/>
  <c r="K804" i="2"/>
  <c r="L806" i="2"/>
  <c r="M806" i="2"/>
  <c r="M805" i="2" s="1"/>
  <c r="P805" i="2" s="1"/>
  <c r="N806" i="2"/>
  <c r="L807" i="2"/>
  <c r="O807" i="2" s="1"/>
  <c r="M807" i="2"/>
  <c r="P807" i="2" s="1"/>
  <c r="L808" i="2"/>
  <c r="O808" i="2" s="1"/>
  <c r="M808" i="2"/>
  <c r="P808" i="2" s="1"/>
  <c r="N808" i="2"/>
  <c r="O809" i="2"/>
  <c r="P809" i="2"/>
  <c r="N810" i="2"/>
  <c r="N807" i="2" s="1"/>
  <c r="N805" i="2" s="1"/>
  <c r="O810" i="2"/>
  <c r="P810" i="2"/>
  <c r="L815" i="2"/>
  <c r="O815" i="2" s="1"/>
  <c r="M815" i="2"/>
  <c r="N815" i="2"/>
  <c r="P815" i="2"/>
  <c r="O816" i="2"/>
  <c r="P816" i="2"/>
  <c r="O817" i="2"/>
  <c r="P817" i="2"/>
  <c r="H820" i="2"/>
  <c r="I821" i="2"/>
  <c r="J821" i="2"/>
  <c r="I822" i="2"/>
  <c r="J822" i="2"/>
  <c r="I823" i="2"/>
  <c r="J823" i="2"/>
  <c r="I824" i="2"/>
  <c r="J824" i="2"/>
  <c r="I825" i="2"/>
  <c r="K825" i="2" s="1"/>
  <c r="J825" i="2"/>
  <c r="I826" i="2"/>
  <c r="K826" i="2" s="1"/>
  <c r="J826" i="2"/>
  <c r="I827" i="2"/>
  <c r="J827" i="2"/>
  <c r="I828" i="2"/>
  <c r="J828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O815" i="1"/>
  <c r="N815" i="1"/>
  <c r="M815" i="1"/>
  <c r="L815" i="1"/>
  <c r="P810" i="1"/>
  <c r="O810" i="1"/>
  <c r="N810" i="1"/>
  <c r="P809" i="1"/>
  <c r="O809" i="1"/>
  <c r="O808" i="1"/>
  <c r="N808" i="1"/>
  <c r="M808" i="1"/>
  <c r="P808" i="1" s="1"/>
  <c r="L808" i="1"/>
  <c r="N807" i="1"/>
  <c r="N805" i="1" s="1"/>
  <c r="M807" i="1"/>
  <c r="P807" i="1" s="1"/>
  <c r="L807" i="1"/>
  <c r="O807" i="1" s="1"/>
  <c r="N806" i="1"/>
  <c r="M806" i="1"/>
  <c r="L806" i="1"/>
  <c r="O806" i="1" s="1"/>
  <c r="L805" i="1"/>
  <c r="O805" i="1" s="1"/>
  <c r="K804" i="1"/>
  <c r="J804" i="1"/>
  <c r="K802" i="1"/>
  <c r="J801" i="1"/>
  <c r="J800" i="1"/>
  <c r="J785" i="1" s="1"/>
  <c r="I800" i="1"/>
  <c r="K800" i="1" s="1"/>
  <c r="P798" i="1"/>
  <c r="O798" i="1"/>
  <c r="P797" i="1"/>
  <c r="O797" i="1"/>
  <c r="P796" i="1"/>
  <c r="O796" i="1"/>
  <c r="N796" i="1"/>
  <c r="M796" i="1"/>
  <c r="L796" i="1"/>
  <c r="N795" i="1"/>
  <c r="N794" i="1"/>
  <c r="N793" i="1"/>
  <c r="N792" i="1"/>
  <c r="P791" i="1"/>
  <c r="L791" i="1"/>
  <c r="O791" i="1" s="1"/>
  <c r="P790" i="1"/>
  <c r="O790" i="1"/>
  <c r="M789" i="1"/>
  <c r="P789" i="1" s="1"/>
  <c r="P788" i="1"/>
  <c r="M788" i="1"/>
  <c r="P787" i="1"/>
  <c r="O787" i="1"/>
  <c r="N787" i="1"/>
  <c r="M787" i="1"/>
  <c r="M786" i="1" s="1"/>
  <c r="P786" i="1" s="1"/>
  <c r="L787" i="1"/>
  <c r="P782" i="1"/>
  <c r="O782" i="1"/>
  <c r="P781" i="1"/>
  <c r="O781" i="1"/>
  <c r="P780" i="1"/>
  <c r="O780" i="1"/>
  <c r="N780" i="1"/>
  <c r="M780" i="1"/>
  <c r="L780" i="1"/>
  <c r="P775" i="1"/>
  <c r="O775" i="1"/>
  <c r="N775" i="1"/>
  <c r="N772" i="1" s="1"/>
  <c r="P774" i="1"/>
  <c r="O774" i="1"/>
  <c r="M773" i="1"/>
  <c r="P773" i="1" s="1"/>
  <c r="L773" i="1"/>
  <c r="O773" i="1" s="1"/>
  <c r="M772" i="1"/>
  <c r="L772" i="1"/>
  <c r="O772" i="1" s="1"/>
  <c r="P771" i="1"/>
  <c r="N771" i="1"/>
  <c r="M771" i="1"/>
  <c r="L771" i="1"/>
  <c r="K769" i="1"/>
  <c r="J769" i="1"/>
  <c r="P766" i="1"/>
  <c r="O766" i="1"/>
  <c r="P765" i="1"/>
  <c r="O765" i="1"/>
  <c r="P764" i="1"/>
  <c r="O764" i="1"/>
  <c r="N764" i="1"/>
  <c r="M764" i="1"/>
  <c r="L764" i="1"/>
  <c r="P759" i="1"/>
  <c r="O759" i="1"/>
  <c r="N759" i="1"/>
  <c r="N756" i="1" s="1"/>
  <c r="P758" i="1"/>
  <c r="O758" i="1"/>
  <c r="N757" i="1"/>
  <c r="M757" i="1"/>
  <c r="P757" i="1" s="1"/>
  <c r="L757" i="1"/>
  <c r="O757" i="1" s="1"/>
  <c r="M756" i="1"/>
  <c r="L756" i="1"/>
  <c r="O756" i="1" s="1"/>
  <c r="P755" i="1"/>
  <c r="N755" i="1"/>
  <c r="N754" i="1" s="1"/>
  <c r="M755" i="1"/>
  <c r="L755" i="1"/>
  <c r="K753" i="1"/>
  <c r="J753" i="1"/>
  <c r="P749" i="1"/>
  <c r="O749" i="1"/>
  <c r="P748" i="1"/>
  <c r="O748" i="1"/>
  <c r="P747" i="1"/>
  <c r="O747" i="1"/>
  <c r="N747" i="1"/>
  <c r="M747" i="1"/>
  <c r="L747" i="1"/>
  <c r="P742" i="1"/>
  <c r="O742" i="1"/>
  <c r="N742" i="1"/>
  <c r="N739" i="1" s="1"/>
  <c r="P741" i="1"/>
  <c r="O741" i="1"/>
  <c r="M740" i="1"/>
  <c r="P740" i="1" s="1"/>
  <c r="L740" i="1"/>
  <c r="O740" i="1" s="1"/>
  <c r="M739" i="1"/>
  <c r="L739" i="1"/>
  <c r="O739" i="1" s="1"/>
  <c r="P738" i="1"/>
  <c r="N738" i="1"/>
  <c r="M738" i="1"/>
  <c r="L738" i="1"/>
  <c r="K736" i="1"/>
  <c r="J736" i="1"/>
  <c r="J735" i="1"/>
  <c r="J734" i="1"/>
  <c r="J733" i="1"/>
  <c r="J732" i="1"/>
  <c r="J731" i="1"/>
  <c r="J730" i="1"/>
  <c r="I729" i="1"/>
  <c r="K729" i="1" s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K720" i="1" s="1"/>
  <c r="J719" i="1"/>
  <c r="J718" i="1"/>
  <c r="J717" i="1"/>
  <c r="J716" i="1"/>
  <c r="J715" i="1"/>
  <c r="J714" i="1"/>
  <c r="J713" i="1"/>
  <c r="J712" i="1"/>
  <c r="J710" i="1"/>
  <c r="J709" i="1"/>
  <c r="I708" i="1"/>
  <c r="K708" i="1" s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N695" i="1"/>
  <c r="M695" i="1"/>
  <c r="L695" i="1"/>
  <c r="O695" i="1" s="1"/>
  <c r="N694" i="1"/>
  <c r="N693" i="1"/>
  <c r="N692" i="1"/>
  <c r="N691" i="1"/>
  <c r="M690" i="1"/>
  <c r="M688" i="1" s="1"/>
  <c r="L690" i="1"/>
  <c r="L687" i="1" s="1"/>
  <c r="P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P667" i="1"/>
  <c r="O667" i="1"/>
  <c r="P666" i="1"/>
  <c r="O666" i="1"/>
  <c r="P665" i="1"/>
  <c r="O665" i="1"/>
  <c r="N665" i="1"/>
  <c r="M665" i="1"/>
  <c r="L665" i="1"/>
  <c r="N664" i="1"/>
  <c r="N663" i="1"/>
  <c r="N662" i="1"/>
  <c r="N661" i="1"/>
  <c r="M660" i="1"/>
  <c r="M657" i="1" s="1"/>
  <c r="L660" i="1"/>
  <c r="L657" i="1" s="1"/>
  <c r="P659" i="1"/>
  <c r="O659" i="1"/>
  <c r="N656" i="1"/>
  <c r="M656" i="1"/>
  <c r="L656" i="1"/>
  <c r="O656" i="1" s="1"/>
  <c r="K652" i="1"/>
  <c r="J652" i="1"/>
  <c r="A652" i="1"/>
  <c r="J651" i="1"/>
  <c r="J628" i="1" s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L639" i="1" s="1"/>
  <c r="O639" i="1" s="1"/>
  <c r="P640" i="1"/>
  <c r="O640" i="1"/>
  <c r="N639" i="1"/>
  <c r="M639" i="1"/>
  <c r="P639" i="1" s="1"/>
  <c r="N638" i="1"/>
  <c r="N637" i="1"/>
  <c r="N636" i="1"/>
  <c r="N635" i="1"/>
  <c r="M634" i="1"/>
  <c r="M632" i="1" s="1"/>
  <c r="L634" i="1"/>
  <c r="P633" i="1"/>
  <c r="O633" i="1"/>
  <c r="P630" i="1"/>
  <c r="O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P556" i="1"/>
  <c r="O556" i="1"/>
  <c r="P555" i="1"/>
  <c r="N555" i="1"/>
  <c r="M555" i="1"/>
  <c r="N554" i="1"/>
  <c r="N553" i="1"/>
  <c r="N552" i="1"/>
  <c r="N551" i="1"/>
  <c r="N550" i="1"/>
  <c r="M549" i="1"/>
  <c r="L549" i="1"/>
  <c r="L547" i="1" s="1"/>
  <c r="P548" i="1"/>
  <c r="O548" i="1"/>
  <c r="P545" i="1"/>
  <c r="N545" i="1"/>
  <c r="M545" i="1"/>
  <c r="L545" i="1"/>
  <c r="O545" i="1" s="1"/>
  <c r="J542" i="1"/>
  <c r="I542" i="1"/>
  <c r="J541" i="1"/>
  <c r="I541" i="1"/>
  <c r="J540" i="1"/>
  <c r="I540" i="1"/>
  <c r="J539" i="1"/>
  <c r="I539" i="1"/>
  <c r="J538" i="1"/>
  <c r="I538" i="1"/>
  <c r="J537" i="1"/>
  <c r="I537" i="1"/>
  <c r="I522" i="1" s="1"/>
  <c r="P535" i="1"/>
  <c r="L535" i="1"/>
  <c r="P534" i="1"/>
  <c r="O534" i="1"/>
  <c r="N533" i="1"/>
  <c r="M533" i="1"/>
  <c r="P533" i="1" s="1"/>
  <c r="N532" i="1"/>
  <c r="N531" i="1"/>
  <c r="N530" i="1"/>
  <c r="N529" i="1"/>
  <c r="L528" i="1"/>
  <c r="P527" i="1"/>
  <c r="O527" i="1"/>
  <c r="P524" i="1"/>
  <c r="N524" i="1"/>
  <c r="M524" i="1"/>
  <c r="L524" i="1"/>
  <c r="O524" i="1" s="1"/>
  <c r="K517" i="1"/>
  <c r="J517" i="1"/>
  <c r="J501" i="1" s="1"/>
  <c r="K516" i="1"/>
  <c r="P514" i="1"/>
  <c r="O514" i="1"/>
  <c r="P513" i="1"/>
  <c r="O513" i="1"/>
  <c r="P512" i="1"/>
  <c r="N512" i="1"/>
  <c r="M512" i="1"/>
  <c r="L512" i="1"/>
  <c r="O512" i="1" s="1"/>
  <c r="P507" i="1"/>
  <c r="O507" i="1"/>
  <c r="N507" i="1"/>
  <c r="P506" i="1"/>
  <c r="O506" i="1"/>
  <c r="P505" i="1"/>
  <c r="N505" i="1"/>
  <c r="M505" i="1"/>
  <c r="L505" i="1"/>
  <c r="O505" i="1" s="1"/>
  <c r="N504" i="1"/>
  <c r="M504" i="1"/>
  <c r="P504" i="1" s="1"/>
  <c r="L504" i="1"/>
  <c r="N503" i="1"/>
  <c r="N502" i="1" s="1"/>
  <c r="M503" i="1"/>
  <c r="P503" i="1" s="1"/>
  <c r="L503" i="1"/>
  <c r="O503" i="1" s="1"/>
  <c r="K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L477" i="1" s="1"/>
  <c r="O477" i="1" s="1"/>
  <c r="P478" i="1"/>
  <c r="O478" i="1"/>
  <c r="P477" i="1"/>
  <c r="N477" i="1"/>
  <c r="M477" i="1"/>
  <c r="N476" i="1"/>
  <c r="N475" i="1"/>
  <c r="N474" i="1"/>
  <c r="N473" i="1"/>
  <c r="M472" i="1"/>
  <c r="M470" i="1" s="1"/>
  <c r="L472" i="1"/>
  <c r="L470" i="1" s="1"/>
  <c r="P471" i="1"/>
  <c r="O471" i="1"/>
  <c r="P468" i="1"/>
  <c r="N468" i="1"/>
  <c r="M468" i="1"/>
  <c r="L468" i="1"/>
  <c r="O468" i="1" s="1"/>
  <c r="I466" i="1"/>
  <c r="I465" i="1"/>
  <c r="J464" i="1"/>
  <c r="I464" i="1"/>
  <c r="J463" i="1"/>
  <c r="I463" i="1"/>
  <c r="J462" i="1"/>
  <c r="J443" i="1" s="1"/>
  <c r="I462" i="1"/>
  <c r="J460" i="1"/>
  <c r="J442" i="1" s="1"/>
  <c r="I460" i="1"/>
  <c r="K458" i="1"/>
  <c r="P456" i="1"/>
  <c r="L456" i="1"/>
  <c r="O456" i="1" s="1"/>
  <c r="P455" i="1"/>
  <c r="O455" i="1"/>
  <c r="N454" i="1"/>
  <c r="M454" i="1"/>
  <c r="P454" i="1" s="1"/>
  <c r="N453" i="1"/>
  <c r="N452" i="1"/>
  <c r="N451" i="1"/>
  <c r="N450" i="1"/>
  <c r="M449" i="1"/>
  <c r="M446" i="1" s="1"/>
  <c r="L449" i="1"/>
  <c r="L447" i="1" s="1"/>
  <c r="P448" i="1"/>
  <c r="O448" i="1"/>
  <c r="O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J433" i="1"/>
  <c r="J417" i="1" s="1"/>
  <c r="P431" i="1"/>
  <c r="L431" i="1"/>
  <c r="O431" i="1" s="1"/>
  <c r="P430" i="1"/>
  <c r="O430" i="1"/>
  <c r="N429" i="1"/>
  <c r="M429" i="1"/>
  <c r="P429" i="1" s="1"/>
  <c r="N428" i="1"/>
  <c r="N427" i="1"/>
  <c r="N426" i="1"/>
  <c r="N425" i="1"/>
  <c r="M424" i="1"/>
  <c r="M422" i="1" s="1"/>
  <c r="L424" i="1"/>
  <c r="L422" i="1" s="1"/>
  <c r="P423" i="1"/>
  <c r="O423" i="1"/>
  <c r="O420" i="1"/>
  <c r="N420" i="1"/>
  <c r="M420" i="1"/>
  <c r="P420" i="1" s="1"/>
  <c r="L420" i="1"/>
  <c r="J413" i="1"/>
  <c r="I413" i="1"/>
  <c r="J412" i="1"/>
  <c r="J401" i="1" s="1"/>
  <c r="I412" i="1"/>
  <c r="I401" i="1" s="1"/>
  <c r="N410" i="1"/>
  <c r="N408" i="1" s="1"/>
  <c r="M410" i="1"/>
  <c r="M408" i="1" s="1"/>
  <c r="L410" i="1"/>
  <c r="P409" i="1"/>
  <c r="O409" i="1"/>
  <c r="N407" i="1"/>
  <c r="N405" i="1" s="1"/>
  <c r="M407" i="1"/>
  <c r="L407" i="1"/>
  <c r="O407" i="1" s="1"/>
  <c r="P406" i="1"/>
  <c r="O406" i="1"/>
  <c r="O403" i="1"/>
  <c r="N403" i="1"/>
  <c r="M403" i="1"/>
  <c r="L403" i="1"/>
  <c r="J400" i="1"/>
  <c r="J388" i="1" s="1"/>
  <c r="I400" i="1"/>
  <c r="J399" i="1"/>
  <c r="I399" i="1"/>
  <c r="K399" i="1" s="1"/>
  <c r="N397" i="1"/>
  <c r="N395" i="1" s="1"/>
  <c r="M397" i="1"/>
  <c r="L397" i="1"/>
  <c r="L395" i="1" s="1"/>
  <c r="P396" i="1"/>
  <c r="O396" i="1"/>
  <c r="N394" i="1"/>
  <c r="N392" i="1" s="1"/>
  <c r="M394" i="1"/>
  <c r="P394" i="1" s="1"/>
  <c r="L394" i="1"/>
  <c r="O394" i="1" s="1"/>
  <c r="P393" i="1"/>
  <c r="O393" i="1"/>
  <c r="P390" i="1"/>
  <c r="N390" i="1"/>
  <c r="M390" i="1"/>
  <c r="L390" i="1"/>
  <c r="O390" i="1" s="1"/>
  <c r="J385" i="1"/>
  <c r="I385" i="1"/>
  <c r="D384" i="1"/>
  <c r="K382" i="1"/>
  <c r="J382" i="1"/>
  <c r="A382" i="1"/>
  <c r="J381" i="1"/>
  <c r="I381" i="1"/>
  <c r="K380" i="1"/>
  <c r="J380" i="1"/>
  <c r="J379" i="1"/>
  <c r="I379" i="1"/>
  <c r="J378" i="1"/>
  <c r="I378" i="1"/>
  <c r="K377" i="1"/>
  <c r="J377" i="1"/>
  <c r="I374" i="1"/>
  <c r="K373" i="1"/>
  <c r="J373" i="1"/>
  <c r="A373" i="1"/>
  <c r="J372" i="1"/>
  <c r="I372" i="1"/>
  <c r="K371" i="1"/>
  <c r="J371" i="1"/>
  <c r="J370" i="1"/>
  <c r="I370" i="1"/>
  <c r="J369" i="1"/>
  <c r="I369" i="1"/>
  <c r="K368" i="1"/>
  <c r="J368" i="1"/>
  <c r="I365" i="1"/>
  <c r="K363" i="1"/>
  <c r="J363" i="1"/>
  <c r="A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M353" i="1"/>
  <c r="M351" i="1" s="1"/>
  <c r="L353" i="1"/>
  <c r="L351" i="1" s="1"/>
  <c r="P352" i="1"/>
  <c r="O352" i="1"/>
  <c r="N350" i="1"/>
  <c r="N348" i="1" s="1"/>
  <c r="M350" i="1"/>
  <c r="L350" i="1"/>
  <c r="L348" i="1" s="1"/>
  <c r="P349" i="1"/>
  <c r="O349" i="1"/>
  <c r="P346" i="1"/>
  <c r="N346" i="1"/>
  <c r="M346" i="1"/>
  <c r="L346" i="1"/>
  <c r="J343" i="1"/>
  <c r="J342" i="1"/>
  <c r="J341" i="1"/>
  <c r="J340" i="1"/>
  <c r="I340" i="1"/>
  <c r="J338" i="1"/>
  <c r="I338" i="1"/>
  <c r="N336" i="1"/>
  <c r="N334" i="1" s="1"/>
  <c r="M336" i="1"/>
  <c r="M334" i="1" s="1"/>
  <c r="L336" i="1"/>
  <c r="L334" i="1" s="1"/>
  <c r="O334" i="1" s="1"/>
  <c r="P335" i="1"/>
  <c r="O335" i="1"/>
  <c r="N333" i="1"/>
  <c r="M333" i="1"/>
  <c r="M331" i="1" s="1"/>
  <c r="L333" i="1"/>
  <c r="L331" i="1" s="1"/>
  <c r="P332" i="1"/>
  <c r="O332" i="1"/>
  <c r="P329" i="1"/>
  <c r="N329" i="1"/>
  <c r="M329" i="1"/>
  <c r="L329" i="1"/>
  <c r="I327" i="1"/>
  <c r="J325" i="1"/>
  <c r="J314" i="1" s="1"/>
  <c r="I325" i="1"/>
  <c r="N323" i="1"/>
  <c r="N321" i="1" s="1"/>
  <c r="M323" i="1"/>
  <c r="L323" i="1"/>
  <c r="P322" i="1"/>
  <c r="O322" i="1"/>
  <c r="N320" i="1"/>
  <c r="N318" i="1" s="1"/>
  <c r="M320" i="1"/>
  <c r="L320" i="1"/>
  <c r="P319" i="1"/>
  <c r="O319" i="1"/>
  <c r="O316" i="1"/>
  <c r="N316" i="1"/>
  <c r="M316" i="1"/>
  <c r="P316" i="1" s="1"/>
  <c r="L316" i="1"/>
  <c r="J312" i="1"/>
  <c r="I312" i="1"/>
  <c r="J311" i="1"/>
  <c r="I311" i="1"/>
  <c r="J310" i="1"/>
  <c r="I310" i="1"/>
  <c r="J309" i="1"/>
  <c r="I309" i="1"/>
  <c r="I297" i="1" s="1"/>
  <c r="J308" i="1"/>
  <c r="N306" i="1"/>
  <c r="N304" i="1" s="1"/>
  <c r="M306" i="1"/>
  <c r="L306" i="1"/>
  <c r="O306" i="1" s="1"/>
  <c r="P305" i="1"/>
  <c r="O305" i="1"/>
  <c r="N303" i="1"/>
  <c r="M303" i="1"/>
  <c r="L303" i="1"/>
  <c r="L301" i="1" s="1"/>
  <c r="P302" i="1"/>
  <c r="O302" i="1"/>
  <c r="P299" i="1"/>
  <c r="N299" i="1"/>
  <c r="M299" i="1"/>
  <c r="L299" i="1"/>
  <c r="J294" i="1"/>
  <c r="I294" i="1"/>
  <c r="J293" i="1"/>
  <c r="I293" i="1"/>
  <c r="J291" i="1"/>
  <c r="I291" i="1"/>
  <c r="J290" i="1"/>
  <c r="I290" i="1"/>
  <c r="J288" i="1"/>
  <c r="J275" i="1" s="1"/>
  <c r="I288" i="1"/>
  <c r="I275" i="1" s="1"/>
  <c r="J287" i="1"/>
  <c r="J276" i="1" s="1"/>
  <c r="I287" i="1"/>
  <c r="I276" i="1" s="1"/>
  <c r="N285" i="1"/>
  <c r="N283" i="1" s="1"/>
  <c r="M285" i="1"/>
  <c r="L285" i="1"/>
  <c r="P284" i="1"/>
  <c r="O284" i="1"/>
  <c r="N282" i="1"/>
  <c r="M282" i="1"/>
  <c r="L282" i="1"/>
  <c r="L280" i="1" s="1"/>
  <c r="P281" i="1"/>
  <c r="O281" i="1"/>
  <c r="P278" i="1"/>
  <c r="N278" i="1"/>
  <c r="M278" i="1"/>
  <c r="L278" i="1"/>
  <c r="J271" i="1"/>
  <c r="J260" i="1" s="1"/>
  <c r="I271" i="1"/>
  <c r="N269" i="1"/>
  <c r="N267" i="1" s="1"/>
  <c r="M269" i="1"/>
  <c r="L269" i="1"/>
  <c r="P268" i="1"/>
  <c r="O268" i="1"/>
  <c r="N266" i="1"/>
  <c r="N264" i="1" s="1"/>
  <c r="M266" i="1"/>
  <c r="L266" i="1"/>
  <c r="L264" i="1" s="1"/>
  <c r="P265" i="1"/>
  <c r="O265" i="1"/>
  <c r="P262" i="1"/>
  <c r="N262" i="1"/>
  <c r="M262" i="1"/>
  <c r="L262" i="1"/>
  <c r="J258" i="1"/>
  <c r="I258" i="1"/>
  <c r="K258" i="1" s="1"/>
  <c r="J257" i="1"/>
  <c r="I257" i="1"/>
  <c r="K257" i="1" s="1"/>
  <c r="J255" i="1"/>
  <c r="J248" i="1" s="1"/>
  <c r="I255" i="1"/>
  <c r="K255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K246" i="1" s="1"/>
  <c r="J244" i="1"/>
  <c r="I244" i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I208" i="1" s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N202" i="1"/>
  <c r="L202" i="1"/>
  <c r="N201" i="1"/>
  <c r="L201" i="1"/>
  <c r="N200" i="1"/>
  <c r="L200" i="1"/>
  <c r="N199" i="1"/>
  <c r="L199" i="1"/>
  <c r="P198" i="1"/>
  <c r="J196" i="1"/>
  <c r="J195" i="1"/>
  <c r="J193" i="1"/>
  <c r="I193" i="1"/>
  <c r="I190" i="1" s="1"/>
  <c r="P191" i="1"/>
  <c r="N191" i="1"/>
  <c r="L191" i="1"/>
  <c r="N189" i="1"/>
  <c r="N187" i="1" s="1"/>
  <c r="M189" i="1"/>
  <c r="M187" i="1" s="1"/>
  <c r="P187" i="1" s="1"/>
  <c r="L189" i="1"/>
  <c r="L187" i="1" s="1"/>
  <c r="O187" i="1" s="1"/>
  <c r="P188" i="1"/>
  <c r="O188" i="1"/>
  <c r="N186" i="1"/>
  <c r="M186" i="1"/>
  <c r="L186" i="1"/>
  <c r="L184" i="1" s="1"/>
  <c r="P185" i="1"/>
  <c r="O185" i="1"/>
  <c r="N182" i="1"/>
  <c r="M182" i="1"/>
  <c r="P182" i="1" s="1"/>
  <c r="L182" i="1"/>
  <c r="O182" i="1" s="1"/>
  <c r="J177" i="1"/>
  <c r="J176" i="1"/>
  <c r="J174" i="1" s="1"/>
  <c r="J164" i="1" s="1"/>
  <c r="I176" i="1"/>
  <c r="N173" i="1"/>
  <c r="N171" i="1" s="1"/>
  <c r="M173" i="1"/>
  <c r="L173" i="1"/>
  <c r="L171" i="1" s="1"/>
  <c r="O171" i="1" s="1"/>
  <c r="P172" i="1"/>
  <c r="O172" i="1"/>
  <c r="N170" i="1"/>
  <c r="M170" i="1"/>
  <c r="L170" i="1"/>
  <c r="L168" i="1" s="1"/>
  <c r="P169" i="1"/>
  <c r="O169" i="1"/>
  <c r="N166" i="1"/>
  <c r="M166" i="1"/>
  <c r="L166" i="1"/>
  <c r="O166" i="1" s="1"/>
  <c r="J159" i="1"/>
  <c r="J148" i="1" s="1"/>
  <c r="I159" i="1"/>
  <c r="N157" i="1"/>
  <c r="N155" i="1" s="1"/>
  <c r="M157" i="1"/>
  <c r="M155" i="1" s="1"/>
  <c r="P155" i="1" s="1"/>
  <c r="L157" i="1"/>
  <c r="O157" i="1" s="1"/>
  <c r="P156" i="1"/>
  <c r="O156" i="1"/>
  <c r="N154" i="1"/>
  <c r="M154" i="1"/>
  <c r="L154" i="1"/>
  <c r="L152" i="1" s="1"/>
  <c r="P153" i="1"/>
  <c r="O153" i="1"/>
  <c r="P150" i="1"/>
  <c r="O150" i="1"/>
  <c r="N150" i="1"/>
  <c r="M150" i="1"/>
  <c r="L150" i="1"/>
  <c r="J146" i="1"/>
  <c r="I146" i="1"/>
  <c r="I130" i="1" s="1"/>
  <c r="J145" i="1"/>
  <c r="I145" i="1"/>
  <c r="J144" i="1"/>
  <c r="I144" i="1"/>
  <c r="J143" i="1"/>
  <c r="J131" i="1" s="1"/>
  <c r="J142" i="1"/>
  <c r="N140" i="1"/>
  <c r="N138" i="1" s="1"/>
  <c r="M140" i="1"/>
  <c r="L140" i="1"/>
  <c r="P139" i="1"/>
  <c r="O139" i="1"/>
  <c r="N137" i="1"/>
  <c r="N135" i="1" s="1"/>
  <c r="M137" i="1"/>
  <c r="L137" i="1"/>
  <c r="P136" i="1"/>
  <c r="O136" i="1"/>
  <c r="P133" i="1"/>
  <c r="N133" i="1"/>
  <c r="M133" i="1"/>
  <c r="L133" i="1"/>
  <c r="O133" i="1" s="1"/>
  <c r="N127" i="1"/>
  <c r="M127" i="1"/>
  <c r="M125" i="1" s="1"/>
  <c r="L127" i="1"/>
  <c r="P126" i="1"/>
  <c r="O126" i="1"/>
  <c r="N124" i="1"/>
  <c r="N122" i="1" s="1"/>
  <c r="M124" i="1"/>
  <c r="L124" i="1"/>
  <c r="O124" i="1" s="1"/>
  <c r="P123" i="1"/>
  <c r="O123" i="1"/>
  <c r="O120" i="1"/>
  <c r="N120" i="1"/>
  <c r="M120" i="1"/>
  <c r="P120" i="1" s="1"/>
  <c r="L120" i="1"/>
  <c r="J118" i="1"/>
  <c r="I118" i="1"/>
  <c r="K118" i="1" s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98" i="1"/>
  <c r="I86" i="1" s="1"/>
  <c r="N96" i="1"/>
  <c r="N94" i="1" s="1"/>
  <c r="M96" i="1"/>
  <c r="P96" i="1" s="1"/>
  <c r="L96" i="1"/>
  <c r="P95" i="1"/>
  <c r="O95" i="1"/>
  <c r="N93" i="1"/>
  <c r="M93" i="1"/>
  <c r="M91" i="1" s="1"/>
  <c r="L93" i="1"/>
  <c r="L91" i="1" s="1"/>
  <c r="P92" i="1"/>
  <c r="O92" i="1"/>
  <c r="P89" i="1"/>
  <c r="O89" i="1"/>
  <c r="N89" i="1"/>
  <c r="M89" i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P73" i="1"/>
  <c r="O73" i="1"/>
  <c r="N71" i="1"/>
  <c r="M71" i="1"/>
  <c r="M69" i="1" s="1"/>
  <c r="L71" i="1"/>
  <c r="L69" i="1" s="1"/>
  <c r="P70" i="1"/>
  <c r="O70" i="1"/>
  <c r="P67" i="1"/>
  <c r="O67" i="1"/>
  <c r="N67" i="1"/>
  <c r="M67" i="1"/>
  <c r="L67" i="1"/>
  <c r="N61" i="1"/>
  <c r="N59" i="1" s="1"/>
  <c r="M61" i="1"/>
  <c r="L61" i="1"/>
  <c r="L59" i="1" s="1"/>
  <c r="P60" i="1"/>
  <c r="O60" i="1"/>
  <c r="N58" i="1"/>
  <c r="N56" i="1" s="1"/>
  <c r="M58" i="1"/>
  <c r="L58" i="1"/>
  <c r="P57" i="1"/>
  <c r="O57" i="1"/>
  <c r="P54" i="1"/>
  <c r="N54" i="1"/>
  <c r="M54" i="1"/>
  <c r="L54" i="1"/>
  <c r="O54" i="1" s="1"/>
  <c r="N49" i="1"/>
  <c r="N47" i="1" s="1"/>
  <c r="M49" i="1"/>
  <c r="M47" i="1" s="1"/>
  <c r="P47" i="1" s="1"/>
  <c r="L49" i="1"/>
  <c r="O49" i="1" s="1"/>
  <c r="P48" i="1"/>
  <c r="O48" i="1"/>
  <c r="N46" i="1"/>
  <c r="M46" i="1"/>
  <c r="L46" i="1"/>
  <c r="P45" i="1"/>
  <c r="O45" i="1"/>
  <c r="O42" i="1"/>
  <c r="N42" i="1"/>
  <c r="M42" i="1"/>
  <c r="P42" i="1" s="1"/>
  <c r="L42" i="1"/>
  <c r="P36" i="1"/>
  <c r="N36" i="1"/>
  <c r="M36" i="1"/>
  <c r="P35" i="1"/>
  <c r="N35" i="1"/>
  <c r="M35" i="1"/>
  <c r="M34" i="1" s="1"/>
  <c r="P34" i="1" s="1"/>
  <c r="L35" i="1"/>
  <c r="O35" i="1" s="1"/>
  <c r="N34" i="1"/>
  <c r="N32" i="1"/>
  <c r="N29" i="1" s="1"/>
  <c r="M32" i="1"/>
  <c r="L32" i="1"/>
  <c r="O32" i="1" s="1"/>
  <c r="L29" i="1"/>
  <c r="O29" i="1" s="1"/>
  <c r="P25" i="1"/>
  <c r="O25" i="1"/>
  <c r="N25" i="1"/>
  <c r="N15" i="1" s="1"/>
  <c r="N9" i="1" s="1"/>
  <c r="M25" i="1"/>
  <c r="L25" i="1"/>
  <c r="P22" i="1"/>
  <c r="O22" i="1"/>
  <c r="N22" i="1"/>
  <c r="M22" i="1"/>
  <c r="L22" i="1"/>
  <c r="L12" i="1" s="1"/>
  <c r="P19" i="1"/>
  <c r="O19" i="1"/>
  <c r="N19" i="1"/>
  <c r="M19" i="1"/>
  <c r="L19" i="1"/>
  <c r="L15" i="1"/>
  <c r="O15" i="1" s="1"/>
  <c r="P12" i="1"/>
  <c r="N12" i="1"/>
  <c r="M12" i="1"/>
  <c r="L469" i="12" l="1"/>
  <c r="K828" i="15"/>
  <c r="K825" i="15"/>
  <c r="O170" i="15"/>
  <c r="N121" i="15"/>
  <c r="N119" i="15" s="1"/>
  <c r="O61" i="15"/>
  <c r="K372" i="15"/>
  <c r="L90" i="15"/>
  <c r="L88" i="15" s="1"/>
  <c r="O557" i="15"/>
  <c r="O189" i="15"/>
  <c r="K176" i="15"/>
  <c r="K822" i="15"/>
  <c r="J722" i="15"/>
  <c r="K325" i="15"/>
  <c r="K355" i="15"/>
  <c r="N330" i="15"/>
  <c r="N328" i="15" s="1"/>
  <c r="K224" i="15"/>
  <c r="N687" i="6"/>
  <c r="N685" i="6" s="1"/>
  <c r="N688" i="6"/>
  <c r="K372" i="14"/>
  <c r="P351" i="14"/>
  <c r="P135" i="15"/>
  <c r="N655" i="6"/>
  <c r="N549" i="6"/>
  <c r="O353" i="14"/>
  <c r="K827" i="15"/>
  <c r="K824" i="15"/>
  <c r="K821" i="15"/>
  <c r="O641" i="15"/>
  <c r="K435" i="15"/>
  <c r="O323" i="15"/>
  <c r="K204" i="15"/>
  <c r="K99" i="15"/>
  <c r="M68" i="15"/>
  <c r="M66" i="15" s="1"/>
  <c r="N472" i="6"/>
  <c r="N470" i="6" s="1"/>
  <c r="L155" i="15"/>
  <c r="O155" i="15" s="1"/>
  <c r="N658" i="6"/>
  <c r="O658" i="6" s="1"/>
  <c r="O140" i="14"/>
  <c r="K340" i="15"/>
  <c r="K593" i="14"/>
  <c r="K577" i="15"/>
  <c r="M549" i="15"/>
  <c r="M547" i="15" s="1"/>
  <c r="P547" i="15" s="1"/>
  <c r="P394" i="15"/>
  <c r="M304" i="15"/>
  <c r="P304" i="15" s="1"/>
  <c r="N263" i="15"/>
  <c r="N261" i="15" s="1"/>
  <c r="L209" i="15"/>
  <c r="O209" i="15" s="1"/>
  <c r="I208" i="15"/>
  <c r="K208" i="15" s="1"/>
  <c r="M187" i="15"/>
  <c r="P187" i="15" s="1"/>
  <c r="I297" i="15"/>
  <c r="K297" i="15" s="1"/>
  <c r="L198" i="15"/>
  <c r="O198" i="15" s="1"/>
  <c r="M90" i="15"/>
  <c r="L43" i="15"/>
  <c r="L41" i="15" s="1"/>
  <c r="P410" i="14"/>
  <c r="P407" i="14"/>
  <c r="K576" i="15"/>
  <c r="K466" i="15"/>
  <c r="J433" i="15"/>
  <c r="J417" i="15" s="1"/>
  <c r="K417" i="15" s="1"/>
  <c r="I364" i="15"/>
  <c r="K369" i="15"/>
  <c r="K360" i="15"/>
  <c r="M300" i="15"/>
  <c r="M298" i="15" s="1"/>
  <c r="L263" i="15"/>
  <c r="K672" i="15"/>
  <c r="I434" i="15"/>
  <c r="I418" i="15" s="1"/>
  <c r="K418" i="15" s="1"/>
  <c r="O394" i="15"/>
  <c r="K379" i="15"/>
  <c r="M347" i="15"/>
  <c r="M345" i="15" s="1"/>
  <c r="O303" i="15"/>
  <c r="K287" i="15"/>
  <c r="O49" i="15"/>
  <c r="L408" i="15"/>
  <c r="O408" i="15" s="1"/>
  <c r="M391" i="15"/>
  <c r="M389" i="15" s="1"/>
  <c r="P389" i="15" s="1"/>
  <c r="K378" i="15"/>
  <c r="L347" i="15"/>
  <c r="L345" i="15" s="1"/>
  <c r="L283" i="15"/>
  <c r="O283" i="15" s="1"/>
  <c r="O269" i="15"/>
  <c r="L167" i="15"/>
  <c r="L165" i="15" s="1"/>
  <c r="O154" i="15"/>
  <c r="O127" i="15"/>
  <c r="M72" i="15"/>
  <c r="P72" i="15" s="1"/>
  <c r="M47" i="15"/>
  <c r="P47" i="15" s="1"/>
  <c r="L658" i="15"/>
  <c r="O658" i="15" s="1"/>
  <c r="O479" i="15"/>
  <c r="N404" i="15"/>
  <c r="N402" i="15" s="1"/>
  <c r="K338" i="15"/>
  <c r="P266" i="15"/>
  <c r="N264" i="15"/>
  <c r="P264" i="15" s="1"/>
  <c r="P140" i="15"/>
  <c r="O124" i="15"/>
  <c r="I112" i="15"/>
  <c r="K112" i="15" s="1"/>
  <c r="K100" i="15"/>
  <c r="M94" i="15"/>
  <c r="P94" i="15" s="1"/>
  <c r="O71" i="15"/>
  <c r="M69" i="15"/>
  <c r="P69" i="15" s="1"/>
  <c r="N55" i="15"/>
  <c r="N53" i="15" s="1"/>
  <c r="I628" i="15"/>
  <c r="K628" i="15" s="1"/>
  <c r="K543" i="15"/>
  <c r="P140" i="13"/>
  <c r="M424" i="14"/>
  <c r="M421" i="14" s="1"/>
  <c r="M419" i="14" s="1"/>
  <c r="K381" i="14"/>
  <c r="M43" i="14"/>
  <c r="M41" i="14" s="1"/>
  <c r="L655" i="15"/>
  <c r="O655" i="15" s="1"/>
  <c r="K561" i="15"/>
  <c r="O397" i="15"/>
  <c r="N347" i="15"/>
  <c r="N345" i="15" s="1"/>
  <c r="P303" i="15"/>
  <c r="M301" i="15"/>
  <c r="P301" i="15" s="1"/>
  <c r="L264" i="15"/>
  <c r="L230" i="15"/>
  <c r="M183" i="15"/>
  <c r="M181" i="15" s="1"/>
  <c r="P168" i="15"/>
  <c r="L168" i="15"/>
  <c r="O168" i="15" s="1"/>
  <c r="I164" i="15"/>
  <c r="K164" i="15" s="1"/>
  <c r="L134" i="15"/>
  <c r="L132" i="15" s="1"/>
  <c r="P93" i="15"/>
  <c r="L231" i="14"/>
  <c r="K176" i="14"/>
  <c r="O791" i="15"/>
  <c r="K569" i="15"/>
  <c r="M546" i="15"/>
  <c r="M544" i="15" s="1"/>
  <c r="J537" i="15"/>
  <c r="J522" i="15" s="1"/>
  <c r="O456" i="15"/>
  <c r="K440" i="15"/>
  <c r="K437" i="15"/>
  <c r="L404" i="15"/>
  <c r="O404" i="15" s="1"/>
  <c r="N391" i="15"/>
  <c r="N389" i="15" s="1"/>
  <c r="O351" i="15"/>
  <c r="P350" i="15"/>
  <c r="J327" i="15"/>
  <c r="K327" i="15" s="1"/>
  <c r="N331" i="15"/>
  <c r="O331" i="15" s="1"/>
  <c r="L301" i="15"/>
  <c r="O301" i="15" s="1"/>
  <c r="P285" i="15"/>
  <c r="I260" i="15"/>
  <c r="K260" i="15" s="1"/>
  <c r="L249" i="15"/>
  <c r="O249" i="15" s="1"/>
  <c r="L238" i="15"/>
  <c r="L183" i="15"/>
  <c r="L181" i="15" s="1"/>
  <c r="M167" i="15"/>
  <c r="M165" i="15" s="1"/>
  <c r="N122" i="15"/>
  <c r="N90" i="15"/>
  <c r="N88" i="15" s="1"/>
  <c r="M91" i="15"/>
  <c r="P91" i="15" s="1"/>
  <c r="I76" i="15"/>
  <c r="K76" i="15" s="1"/>
  <c r="M55" i="15"/>
  <c r="L447" i="15"/>
  <c r="M395" i="15"/>
  <c r="P395" i="15" s="1"/>
  <c r="O74" i="15"/>
  <c r="L68" i="15"/>
  <c r="L66" i="15" s="1"/>
  <c r="O46" i="15"/>
  <c r="L469" i="14"/>
  <c r="L467" i="14" s="1"/>
  <c r="K826" i="15"/>
  <c r="K823" i="15"/>
  <c r="I785" i="15"/>
  <c r="K785" i="15" s="1"/>
  <c r="M446" i="15"/>
  <c r="M444" i="15" s="1"/>
  <c r="I443" i="15"/>
  <c r="K443" i="15" s="1"/>
  <c r="P353" i="15"/>
  <c r="N151" i="15"/>
  <c r="N149" i="15" s="1"/>
  <c r="L152" i="15"/>
  <c r="O152" i="15" s="1"/>
  <c r="O138" i="15"/>
  <c r="P137" i="15"/>
  <c r="L44" i="15"/>
  <c r="K145" i="14"/>
  <c r="L788" i="15"/>
  <c r="O788" i="15" s="1"/>
  <c r="J721" i="15"/>
  <c r="O660" i="15"/>
  <c r="K385" i="15"/>
  <c r="K370" i="15"/>
  <c r="K359" i="15"/>
  <c r="O353" i="15"/>
  <c r="L231" i="15"/>
  <c r="O186" i="15"/>
  <c r="M184" i="15"/>
  <c r="P184" i="15" s="1"/>
  <c r="O173" i="15"/>
  <c r="K146" i="15"/>
  <c r="O135" i="15"/>
  <c r="L121" i="15"/>
  <c r="O121" i="15" s="1"/>
  <c r="M43" i="15"/>
  <c r="M41" i="15" s="1"/>
  <c r="N547" i="15"/>
  <c r="O547" i="15" s="1"/>
  <c r="N546" i="15"/>
  <c r="K593" i="15"/>
  <c r="N422" i="15"/>
  <c r="N421" i="15"/>
  <c r="O424" i="15"/>
  <c r="N737" i="15"/>
  <c r="O549" i="15"/>
  <c r="O528" i="15"/>
  <c r="L525" i="15"/>
  <c r="O525" i="15" s="1"/>
  <c r="K381" i="15"/>
  <c r="J374" i="15"/>
  <c r="K374" i="15" s="1"/>
  <c r="P282" i="15"/>
  <c r="N280" i="15"/>
  <c r="O280" i="15" s="1"/>
  <c r="N279" i="15"/>
  <c r="N277" i="15" s="1"/>
  <c r="K594" i="14"/>
  <c r="O479" i="14"/>
  <c r="L770" i="15"/>
  <c r="O770" i="15" s="1"/>
  <c r="N688" i="15"/>
  <c r="K538" i="15"/>
  <c r="L533" i="15"/>
  <c r="O533" i="15" s="1"/>
  <c r="O504" i="15"/>
  <c r="M472" i="15"/>
  <c r="L446" i="15"/>
  <c r="L444" i="15" s="1"/>
  <c r="O420" i="15"/>
  <c r="M348" i="15"/>
  <c r="P348" i="15" s="1"/>
  <c r="O316" i="15"/>
  <c r="O431" i="14"/>
  <c r="O350" i="14"/>
  <c r="O787" i="15"/>
  <c r="N739" i="15"/>
  <c r="K675" i="15"/>
  <c r="K669" i="15"/>
  <c r="K673" i="15"/>
  <c r="O634" i="15"/>
  <c r="L632" i="15"/>
  <c r="O632" i="15" s="1"/>
  <c r="J593" i="15"/>
  <c r="J592" i="15" s="1"/>
  <c r="I592" i="15"/>
  <c r="K592" i="15" s="1"/>
  <c r="N504" i="15"/>
  <c r="N502" i="15" s="1"/>
  <c r="O472" i="15"/>
  <c r="L469" i="15"/>
  <c r="O469" i="15" s="1"/>
  <c r="I442" i="15"/>
  <c r="K442" i="15" s="1"/>
  <c r="K460" i="15"/>
  <c r="N419" i="15"/>
  <c r="M404" i="15"/>
  <c r="P404" i="15" s="1"/>
  <c r="P407" i="15"/>
  <c r="L348" i="15"/>
  <c r="O348" i="15" s="1"/>
  <c r="K372" i="13"/>
  <c r="L395" i="14"/>
  <c r="O395" i="14" s="1"/>
  <c r="K374" i="14"/>
  <c r="N330" i="14"/>
  <c r="N328" i="14" s="1"/>
  <c r="K215" i="14"/>
  <c r="N772" i="15"/>
  <c r="N770" i="15" s="1"/>
  <c r="P755" i="15"/>
  <c r="O656" i="15"/>
  <c r="O524" i="15"/>
  <c r="O445" i="15"/>
  <c r="K365" i="15"/>
  <c r="P316" i="15"/>
  <c r="O306" i="15"/>
  <c r="L300" i="15"/>
  <c r="P278" i="15"/>
  <c r="K385" i="14"/>
  <c r="L229" i="14"/>
  <c r="L167" i="14"/>
  <c r="L165" i="14" s="1"/>
  <c r="M786" i="15"/>
  <c r="P786" i="15" s="1"/>
  <c r="N754" i="15"/>
  <c r="L754" i="15"/>
  <c r="O754" i="15" s="1"/>
  <c r="M685" i="15"/>
  <c r="P685" i="15" s="1"/>
  <c r="I522" i="15"/>
  <c r="L33" i="15"/>
  <c r="L31" i="15" s="1"/>
  <c r="L422" i="15"/>
  <c r="O422" i="15" s="1"/>
  <c r="L421" i="15"/>
  <c r="O421" i="15" s="1"/>
  <c r="M424" i="15"/>
  <c r="P410" i="15"/>
  <c r="P351" i="15"/>
  <c r="I248" i="15"/>
  <c r="K248" i="15" s="1"/>
  <c r="K255" i="15"/>
  <c r="K193" i="14"/>
  <c r="L687" i="15"/>
  <c r="O690" i="15"/>
  <c r="I654" i="15"/>
  <c r="K654" i="15" s="1"/>
  <c r="L631" i="15"/>
  <c r="O631" i="15" s="1"/>
  <c r="K559" i="15"/>
  <c r="M528" i="15"/>
  <c r="L526" i="15"/>
  <c r="O526" i="15" s="1"/>
  <c r="O468" i="15"/>
  <c r="P403" i="15"/>
  <c r="O350" i="15"/>
  <c r="O346" i="15"/>
  <c r="O333" i="15"/>
  <c r="L330" i="15"/>
  <c r="M321" i="15"/>
  <c r="P321" i="15" s="1"/>
  <c r="M317" i="15"/>
  <c r="O320" i="15"/>
  <c r="N317" i="15"/>
  <c r="N315" i="15" s="1"/>
  <c r="N318" i="15"/>
  <c r="L546" i="15"/>
  <c r="O546" i="15" s="1"/>
  <c r="L405" i="15"/>
  <c r="O405" i="15" s="1"/>
  <c r="P333" i="15"/>
  <c r="M331" i="15"/>
  <c r="P157" i="15"/>
  <c r="M155" i="15"/>
  <c r="P155" i="15" s="1"/>
  <c r="P124" i="15"/>
  <c r="M122" i="15"/>
  <c r="P122" i="15" s="1"/>
  <c r="M23" i="15"/>
  <c r="M21" i="15" s="1"/>
  <c r="M121" i="15"/>
  <c r="P121" i="15" s="1"/>
  <c r="K98" i="15"/>
  <c r="J86" i="15"/>
  <c r="I233" i="15"/>
  <c r="K233" i="15" s="1"/>
  <c r="I190" i="15"/>
  <c r="K190" i="15" s="1"/>
  <c r="O29" i="15"/>
  <c r="N449" i="15"/>
  <c r="L36" i="15"/>
  <c r="O36" i="15" s="1"/>
  <c r="L429" i="15"/>
  <c r="O429" i="15" s="1"/>
  <c r="L391" i="15"/>
  <c r="O391" i="15" s="1"/>
  <c r="K362" i="15"/>
  <c r="M334" i="15"/>
  <c r="P334" i="15" s="1"/>
  <c r="M330" i="15"/>
  <c r="P320" i="15"/>
  <c r="M279" i="15"/>
  <c r="M277" i="15" s="1"/>
  <c r="L334" i="15"/>
  <c r="O334" i="15" s="1"/>
  <c r="J288" i="15"/>
  <c r="J275" i="15" s="1"/>
  <c r="K275" i="15" s="1"/>
  <c r="O282" i="15"/>
  <c r="L279" i="15"/>
  <c r="M267" i="15"/>
  <c r="P267" i="15" s="1"/>
  <c r="P269" i="15"/>
  <c r="I237" i="15"/>
  <c r="P15" i="15"/>
  <c r="O15" i="15"/>
  <c r="L317" i="15"/>
  <c r="N300" i="15"/>
  <c r="N298" i="15" s="1"/>
  <c r="P154" i="15"/>
  <c r="M152" i="15"/>
  <c r="P152" i="15" s="1"/>
  <c r="M151" i="15"/>
  <c r="P127" i="15"/>
  <c r="M125" i="15"/>
  <c r="P125" i="15" s="1"/>
  <c r="O120" i="15"/>
  <c r="M26" i="15"/>
  <c r="M24" i="15" s="1"/>
  <c r="O58" i="15"/>
  <c r="L12" i="15"/>
  <c r="L19" i="15"/>
  <c r="O22" i="15"/>
  <c r="M263" i="15"/>
  <c r="L229" i="15"/>
  <c r="L217" i="15"/>
  <c r="O217" i="15" s="1"/>
  <c r="P138" i="15"/>
  <c r="K87" i="15"/>
  <c r="O96" i="15"/>
  <c r="L94" i="15"/>
  <c r="O94" i="15" s="1"/>
  <c r="K81" i="15"/>
  <c r="I77" i="15"/>
  <c r="O69" i="15"/>
  <c r="P54" i="15"/>
  <c r="L26" i="15"/>
  <c r="I143" i="15"/>
  <c r="K145" i="15"/>
  <c r="K86" i="15"/>
  <c r="O93" i="15"/>
  <c r="L91" i="15"/>
  <c r="O91" i="15" s="1"/>
  <c r="P61" i="15"/>
  <c r="N59" i="15"/>
  <c r="P59" i="15" s="1"/>
  <c r="N23" i="15"/>
  <c r="P29" i="15"/>
  <c r="O184" i="15"/>
  <c r="O150" i="15"/>
  <c r="J143" i="15"/>
  <c r="J131" i="15" s="1"/>
  <c r="P58" i="15"/>
  <c r="N56" i="15"/>
  <c r="P56" i="15" s="1"/>
  <c r="O35" i="15"/>
  <c r="N9" i="15"/>
  <c r="L228" i="15"/>
  <c r="P186" i="15"/>
  <c r="P173" i="15"/>
  <c r="P170" i="15"/>
  <c r="K159" i="15"/>
  <c r="L151" i="15"/>
  <c r="K144" i="15"/>
  <c r="O140" i="15"/>
  <c r="O137" i="15"/>
  <c r="K116" i="15"/>
  <c r="P71" i="15"/>
  <c r="P46" i="15"/>
  <c r="L23" i="15"/>
  <c r="N19" i="15"/>
  <c r="N134" i="15"/>
  <c r="N132" i="15" s="1"/>
  <c r="L55" i="15"/>
  <c r="N26" i="15"/>
  <c r="M19" i="15"/>
  <c r="M12" i="15"/>
  <c r="N183" i="15"/>
  <c r="N167" i="15"/>
  <c r="M134" i="15"/>
  <c r="N68" i="15"/>
  <c r="L59" i="15"/>
  <c r="L56" i="15"/>
  <c r="N43" i="15"/>
  <c r="N41" i="15" s="1"/>
  <c r="O266" i="15"/>
  <c r="N44" i="15"/>
  <c r="P44" i="15" s="1"/>
  <c r="P32" i="15"/>
  <c r="P25" i="15"/>
  <c r="K159" i="14"/>
  <c r="L470" i="14"/>
  <c r="O266" i="14"/>
  <c r="L228" i="14"/>
  <c r="O154" i="14"/>
  <c r="L125" i="14"/>
  <c r="O125" i="14" s="1"/>
  <c r="K828" i="14"/>
  <c r="L421" i="14"/>
  <c r="O421" i="14" s="1"/>
  <c r="L391" i="14"/>
  <c r="L389" i="14" s="1"/>
  <c r="O389" i="14" s="1"/>
  <c r="M283" i="14"/>
  <c r="P283" i="14" s="1"/>
  <c r="P124" i="14"/>
  <c r="K98" i="14"/>
  <c r="O49" i="14"/>
  <c r="K568" i="14"/>
  <c r="M472" i="14"/>
  <c r="M470" i="14" s="1"/>
  <c r="P320" i="14"/>
  <c r="M135" i="14"/>
  <c r="P135" i="14" s="1"/>
  <c r="I260" i="14"/>
  <c r="K260" i="14" s="1"/>
  <c r="K827" i="14"/>
  <c r="O407" i="14"/>
  <c r="K359" i="14"/>
  <c r="M90" i="14"/>
  <c r="M88" i="14" s="1"/>
  <c r="J722" i="13"/>
  <c r="L321" i="13"/>
  <c r="O321" i="13" s="1"/>
  <c r="K821" i="14"/>
  <c r="L301" i="14"/>
  <c r="O301" i="14" s="1"/>
  <c r="M263" i="14"/>
  <c r="M261" i="14" s="1"/>
  <c r="I197" i="14"/>
  <c r="K197" i="14" s="1"/>
  <c r="J143" i="14"/>
  <c r="J131" i="14" s="1"/>
  <c r="N300" i="13"/>
  <c r="N298" i="13" s="1"/>
  <c r="J721" i="14"/>
  <c r="K370" i="14"/>
  <c r="L317" i="14"/>
  <c r="L315" i="14" s="1"/>
  <c r="O315" i="14" s="1"/>
  <c r="L238" i="14"/>
  <c r="O238" i="14" s="1"/>
  <c r="M187" i="14"/>
  <c r="P187" i="14" s="1"/>
  <c r="N68" i="14"/>
  <c r="N66" i="14" s="1"/>
  <c r="K822" i="14"/>
  <c r="K672" i="14"/>
  <c r="L632" i="14"/>
  <c r="O632" i="14" s="1"/>
  <c r="L446" i="14"/>
  <c r="O446" i="14" s="1"/>
  <c r="P397" i="14"/>
  <c r="J364" i="14"/>
  <c r="O173" i="14"/>
  <c r="P127" i="14"/>
  <c r="K100" i="14"/>
  <c r="M68" i="14"/>
  <c r="P68" i="14" s="1"/>
  <c r="K592" i="14"/>
  <c r="L422" i="13"/>
  <c r="M330" i="13"/>
  <c r="M328" i="13" s="1"/>
  <c r="M280" i="13"/>
  <c r="P280" i="13" s="1"/>
  <c r="N808" i="14"/>
  <c r="P806" i="14"/>
  <c r="L788" i="14"/>
  <c r="O788" i="14" s="1"/>
  <c r="M770" i="14"/>
  <c r="P770" i="14" s="1"/>
  <c r="O690" i="14"/>
  <c r="K674" i="14"/>
  <c r="N631" i="14"/>
  <c r="N629" i="14" s="1"/>
  <c r="K561" i="14"/>
  <c r="O557" i="14"/>
  <c r="M544" i="14"/>
  <c r="O528" i="14"/>
  <c r="M502" i="14"/>
  <c r="P502" i="14" s="1"/>
  <c r="P445" i="14"/>
  <c r="J433" i="14"/>
  <c r="J417" i="14" s="1"/>
  <c r="K417" i="14" s="1"/>
  <c r="N422" i="14"/>
  <c r="O422" i="14" s="1"/>
  <c r="L404" i="14"/>
  <c r="O404" i="14" s="1"/>
  <c r="O394" i="14"/>
  <c r="K378" i="14"/>
  <c r="P353" i="14"/>
  <c r="P350" i="14"/>
  <c r="J327" i="14"/>
  <c r="K327" i="14" s="1"/>
  <c r="O323" i="14"/>
  <c r="K309" i="14"/>
  <c r="P269" i="14"/>
  <c r="P157" i="14"/>
  <c r="I131" i="14"/>
  <c r="K131" i="14" s="1"/>
  <c r="K99" i="14"/>
  <c r="P96" i="14"/>
  <c r="O71" i="14"/>
  <c r="L43" i="14"/>
  <c r="L41" i="14" s="1"/>
  <c r="M15" i="14"/>
  <c r="O431" i="13"/>
  <c r="O61" i="13"/>
  <c r="K824" i="14"/>
  <c r="I785" i="14"/>
  <c r="K785" i="14" s="1"/>
  <c r="O456" i="14"/>
  <c r="L454" i="14"/>
  <c r="O454" i="14" s="1"/>
  <c r="K435" i="14"/>
  <c r="L408" i="14"/>
  <c r="O408" i="14" s="1"/>
  <c r="M317" i="14"/>
  <c r="P317" i="14" s="1"/>
  <c r="L318" i="14"/>
  <c r="O318" i="14" s="1"/>
  <c r="O269" i="14"/>
  <c r="K255" i="14"/>
  <c r="K244" i="14"/>
  <c r="K174" i="14"/>
  <c r="K144" i="14"/>
  <c r="M121" i="14"/>
  <c r="P121" i="14" s="1"/>
  <c r="O96" i="14"/>
  <c r="L737" i="14"/>
  <c r="O737" i="14" s="1"/>
  <c r="N655" i="14"/>
  <c r="M629" i="14"/>
  <c r="P629" i="14" s="1"/>
  <c r="O535" i="14"/>
  <c r="N525" i="14"/>
  <c r="N523" i="14" s="1"/>
  <c r="K462" i="14"/>
  <c r="M321" i="14"/>
  <c r="P321" i="14" s="1"/>
  <c r="L304" i="14"/>
  <c r="O304" i="14" s="1"/>
  <c r="N227" i="14"/>
  <c r="I130" i="14"/>
  <c r="K130" i="14" s="1"/>
  <c r="P61" i="14"/>
  <c r="J722" i="12"/>
  <c r="K369" i="13"/>
  <c r="L770" i="14"/>
  <c r="O770" i="14" s="1"/>
  <c r="N391" i="14"/>
  <c r="N389" i="14" s="1"/>
  <c r="M334" i="14"/>
  <c r="P334" i="14" s="1"/>
  <c r="N331" i="14"/>
  <c r="P331" i="14" s="1"/>
  <c r="N300" i="14"/>
  <c r="N298" i="14" s="1"/>
  <c r="M301" i="14"/>
  <c r="P301" i="14" s="1"/>
  <c r="K287" i="14"/>
  <c r="L263" i="14"/>
  <c r="L261" i="14" s="1"/>
  <c r="J226" i="14"/>
  <c r="J180" i="14" s="1"/>
  <c r="L217" i="14"/>
  <c r="O217" i="14" s="1"/>
  <c r="P152" i="14"/>
  <c r="M94" i="14"/>
  <c r="P94" i="14" s="1"/>
  <c r="N29" i="14"/>
  <c r="O154" i="13"/>
  <c r="K823" i="14"/>
  <c r="L754" i="14"/>
  <c r="O754" i="14" s="1"/>
  <c r="J722" i="14"/>
  <c r="L688" i="14"/>
  <c r="O688" i="14" s="1"/>
  <c r="K675" i="14"/>
  <c r="J592" i="14"/>
  <c r="N446" i="14"/>
  <c r="N444" i="14" s="1"/>
  <c r="L230" i="14"/>
  <c r="L209" i="14"/>
  <c r="O209" i="14" s="1"/>
  <c r="J164" i="14"/>
  <c r="M151" i="14"/>
  <c r="M149" i="14" s="1"/>
  <c r="L90" i="14"/>
  <c r="L88" i="14" s="1"/>
  <c r="I77" i="14"/>
  <c r="I65" i="14" s="1"/>
  <c r="K65" i="14" s="1"/>
  <c r="M55" i="14"/>
  <c r="M53" i="14" s="1"/>
  <c r="K215" i="12"/>
  <c r="M786" i="14"/>
  <c r="P786" i="14" s="1"/>
  <c r="K669" i="14"/>
  <c r="N657" i="14"/>
  <c r="M655" i="14"/>
  <c r="P655" i="14" s="1"/>
  <c r="P394" i="14"/>
  <c r="N347" i="14"/>
  <c r="N345" i="14" s="1"/>
  <c r="K340" i="14"/>
  <c r="O320" i="14"/>
  <c r="L300" i="14"/>
  <c r="O300" i="14" s="1"/>
  <c r="L279" i="14"/>
  <c r="O279" i="14" s="1"/>
  <c r="N183" i="14"/>
  <c r="N181" i="14" s="1"/>
  <c r="N34" i="14"/>
  <c r="N470" i="14"/>
  <c r="O472" i="14"/>
  <c r="N469" i="14"/>
  <c r="J537" i="14"/>
  <c r="J522" i="14" s="1"/>
  <c r="O74" i="14"/>
  <c r="L26" i="14"/>
  <c r="L72" i="14"/>
  <c r="O72" i="14" s="1"/>
  <c r="K338" i="12"/>
  <c r="K577" i="14"/>
  <c r="M523" i="14"/>
  <c r="P523" i="14" s="1"/>
  <c r="N504" i="14"/>
  <c r="N502" i="14" s="1"/>
  <c r="L36" i="14"/>
  <c r="O36" i="14" s="1"/>
  <c r="K379" i="14"/>
  <c r="L347" i="14"/>
  <c r="K338" i="14"/>
  <c r="P333" i="14"/>
  <c r="M330" i="14"/>
  <c r="N279" i="14"/>
  <c r="N277" i="14" s="1"/>
  <c r="M279" i="14"/>
  <c r="N26" i="14"/>
  <c r="N134" i="14"/>
  <c r="N132" i="14" s="1"/>
  <c r="N138" i="14"/>
  <c r="K115" i="14"/>
  <c r="I112" i="14"/>
  <c r="K112" i="14" s="1"/>
  <c r="P54" i="14"/>
  <c r="O32" i="14"/>
  <c r="L29" i="14"/>
  <c r="K543" i="14"/>
  <c r="M347" i="14"/>
  <c r="M345" i="14" s="1"/>
  <c r="N321" i="14"/>
  <c r="N317" i="14"/>
  <c r="N315" i="14" s="1"/>
  <c r="M660" i="13"/>
  <c r="M658" i="13" s="1"/>
  <c r="K576" i="14"/>
  <c r="L546" i="14"/>
  <c r="K460" i="14"/>
  <c r="L447" i="14"/>
  <c r="O447" i="14" s="1"/>
  <c r="I434" i="14"/>
  <c r="L331" i="14"/>
  <c r="L330" i="14"/>
  <c r="O333" i="14"/>
  <c r="L249" i="14"/>
  <c r="O249" i="14" s="1"/>
  <c r="L187" i="14"/>
  <c r="O187" i="14" s="1"/>
  <c r="O189" i="14"/>
  <c r="P186" i="14"/>
  <c r="M183" i="14"/>
  <c r="L183" i="14"/>
  <c r="O35" i="14"/>
  <c r="L15" i="14"/>
  <c r="L688" i="13"/>
  <c r="O688" i="13" s="1"/>
  <c r="L789" i="14"/>
  <c r="O789" i="14" s="1"/>
  <c r="O787" i="14"/>
  <c r="N772" i="14"/>
  <c r="N770" i="14" s="1"/>
  <c r="P755" i="14"/>
  <c r="N739" i="14"/>
  <c r="N737" i="14" s="1"/>
  <c r="N547" i="14"/>
  <c r="N546" i="14"/>
  <c r="P546" i="14" s="1"/>
  <c r="P545" i="14"/>
  <c r="K355" i="14"/>
  <c r="O336" i="14"/>
  <c r="P329" i="14"/>
  <c r="I314" i="14"/>
  <c r="K314" i="14" s="1"/>
  <c r="M300" i="14"/>
  <c r="P300" i="14" s="1"/>
  <c r="I275" i="14"/>
  <c r="K275" i="14" s="1"/>
  <c r="K288" i="14"/>
  <c r="J288" i="14"/>
  <c r="J275" i="14" s="1"/>
  <c r="N167" i="14"/>
  <c r="N165" i="14" s="1"/>
  <c r="P168" i="14"/>
  <c r="N151" i="14"/>
  <c r="N149" i="14" s="1"/>
  <c r="K80" i="14"/>
  <c r="I76" i="14"/>
  <c r="N23" i="14"/>
  <c r="N21" i="14" s="1"/>
  <c r="N43" i="14"/>
  <c r="N44" i="14"/>
  <c r="O44" i="14" s="1"/>
  <c r="O46" i="14"/>
  <c r="L209" i="13"/>
  <c r="O209" i="13" s="1"/>
  <c r="O140" i="13"/>
  <c r="P788" i="14"/>
  <c r="O755" i="14"/>
  <c r="L685" i="14"/>
  <c r="O685" i="14" s="1"/>
  <c r="K673" i="14"/>
  <c r="O660" i="14"/>
  <c r="O641" i="14"/>
  <c r="K559" i="14"/>
  <c r="P549" i="14"/>
  <c r="M547" i="14"/>
  <c r="P503" i="14"/>
  <c r="L502" i="14"/>
  <c r="O502" i="14" s="1"/>
  <c r="L33" i="14"/>
  <c r="L31" i="14" s="1"/>
  <c r="O424" i="14"/>
  <c r="P390" i="14"/>
  <c r="K362" i="14"/>
  <c r="L351" i="14"/>
  <c r="O351" i="14" s="1"/>
  <c r="O278" i="14"/>
  <c r="P170" i="14"/>
  <c r="M167" i="14"/>
  <c r="M134" i="14"/>
  <c r="P89" i="14"/>
  <c r="N56" i="14"/>
  <c r="O56" i="14" s="1"/>
  <c r="P58" i="14"/>
  <c r="N55" i="14"/>
  <c r="N53" i="14" s="1"/>
  <c r="N91" i="14"/>
  <c r="O91" i="14" s="1"/>
  <c r="O93" i="14"/>
  <c r="P93" i="14"/>
  <c r="N90" i="14"/>
  <c r="N330" i="13"/>
  <c r="P154" i="13"/>
  <c r="L805" i="14"/>
  <c r="O805" i="14" s="1"/>
  <c r="N688" i="14"/>
  <c r="L657" i="14"/>
  <c r="L631" i="14"/>
  <c r="O549" i="14"/>
  <c r="L547" i="14"/>
  <c r="K537" i="14"/>
  <c r="N404" i="14"/>
  <c r="N402" i="14" s="1"/>
  <c r="M348" i="14"/>
  <c r="M304" i="14"/>
  <c r="P304" i="14" s="1"/>
  <c r="O157" i="14"/>
  <c r="L151" i="14"/>
  <c r="P154" i="14"/>
  <c r="L135" i="14"/>
  <c r="O135" i="14" s="1"/>
  <c r="L134" i="14"/>
  <c r="O134" i="14" s="1"/>
  <c r="O137" i="14"/>
  <c r="O89" i="14"/>
  <c r="L12" i="14"/>
  <c r="L19" i="14"/>
  <c r="O22" i="14"/>
  <c r="K365" i="14"/>
  <c r="K360" i="14"/>
  <c r="N348" i="14"/>
  <c r="L283" i="14"/>
  <c r="O283" i="14" s="1"/>
  <c r="N264" i="14"/>
  <c r="O264" i="14" s="1"/>
  <c r="P266" i="14"/>
  <c r="I233" i="14"/>
  <c r="K233" i="14" s="1"/>
  <c r="L198" i="14"/>
  <c r="O198" i="14" s="1"/>
  <c r="N184" i="14"/>
  <c r="P184" i="14" s="1"/>
  <c r="L168" i="14"/>
  <c r="O168" i="14" s="1"/>
  <c r="O170" i="14"/>
  <c r="P140" i="14"/>
  <c r="M138" i="14"/>
  <c r="P138" i="14" s="1"/>
  <c r="O133" i="14"/>
  <c r="O67" i="14"/>
  <c r="N33" i="14"/>
  <c r="L525" i="14"/>
  <c r="M404" i="14"/>
  <c r="L348" i="14"/>
  <c r="M280" i="14"/>
  <c r="P280" i="14" s="1"/>
  <c r="I226" i="14"/>
  <c r="K226" i="14" s="1"/>
  <c r="K237" i="14"/>
  <c r="L184" i="14"/>
  <c r="O186" i="14"/>
  <c r="L121" i="14"/>
  <c r="O124" i="14"/>
  <c r="K369" i="14"/>
  <c r="I364" i="14"/>
  <c r="L280" i="14"/>
  <c r="O280" i="14" s="1"/>
  <c r="N263" i="14"/>
  <c r="N261" i="14" s="1"/>
  <c r="K164" i="14"/>
  <c r="M171" i="14"/>
  <c r="P171" i="14" s="1"/>
  <c r="M72" i="14"/>
  <c r="P72" i="14" s="1"/>
  <c r="P74" i="14"/>
  <c r="O58" i="14"/>
  <c r="L55" i="14"/>
  <c r="M44" i="14"/>
  <c r="P46" i="14"/>
  <c r="P59" i="14"/>
  <c r="M23" i="14"/>
  <c r="M391" i="14"/>
  <c r="P391" i="14" s="1"/>
  <c r="K224" i="14"/>
  <c r="N121" i="14"/>
  <c r="N119" i="14" s="1"/>
  <c r="M69" i="14"/>
  <c r="P69" i="14" s="1"/>
  <c r="P71" i="14"/>
  <c r="L59" i="14"/>
  <c r="O59" i="14" s="1"/>
  <c r="M47" i="14"/>
  <c r="P47" i="14" s="1"/>
  <c r="M26" i="14"/>
  <c r="M24" i="14" s="1"/>
  <c r="P49" i="14"/>
  <c r="M34" i="14"/>
  <c r="P34" i="14" s="1"/>
  <c r="P15" i="14"/>
  <c r="L68" i="14"/>
  <c r="O68" i="14" s="1"/>
  <c r="M29" i="14"/>
  <c r="P32" i="14"/>
  <c r="M12" i="14"/>
  <c r="L23" i="14"/>
  <c r="L21" i="14" s="1"/>
  <c r="N19" i="14"/>
  <c r="N12" i="14"/>
  <c r="M19" i="14"/>
  <c r="P25" i="14"/>
  <c r="I785" i="13"/>
  <c r="K785" i="13" s="1"/>
  <c r="K435" i="13"/>
  <c r="O424" i="13"/>
  <c r="O394" i="13"/>
  <c r="K338" i="13"/>
  <c r="M283" i="13"/>
  <c r="P283" i="13" s="1"/>
  <c r="N263" i="13"/>
  <c r="N261" i="13" s="1"/>
  <c r="M90" i="13"/>
  <c r="M88" i="13" s="1"/>
  <c r="K647" i="13"/>
  <c r="O535" i="13"/>
  <c r="M300" i="13"/>
  <c r="M298" i="13" s="1"/>
  <c r="K359" i="13"/>
  <c r="L229" i="13"/>
  <c r="P91" i="13"/>
  <c r="K649" i="13"/>
  <c r="K385" i="13"/>
  <c r="K378" i="13"/>
  <c r="L547" i="12"/>
  <c r="K374" i="12"/>
  <c r="K827" i="13"/>
  <c r="K821" i="13"/>
  <c r="L391" i="13"/>
  <c r="O391" i="13" s="1"/>
  <c r="K360" i="13"/>
  <c r="I130" i="13"/>
  <c r="K130" i="13" s="1"/>
  <c r="O124" i="13"/>
  <c r="N55" i="13"/>
  <c r="N53" i="13" s="1"/>
  <c r="L43" i="13"/>
  <c r="L41" i="13" s="1"/>
  <c r="P397" i="13"/>
  <c r="L395" i="13"/>
  <c r="O395" i="13" s="1"/>
  <c r="I143" i="13"/>
  <c r="I131" i="13" s="1"/>
  <c r="L138" i="13"/>
  <c r="O138" i="13" s="1"/>
  <c r="M68" i="13"/>
  <c r="P68" i="13" s="1"/>
  <c r="O549" i="12"/>
  <c r="M472" i="13"/>
  <c r="M470" i="13" s="1"/>
  <c r="P470" i="13" s="1"/>
  <c r="O456" i="13"/>
  <c r="P394" i="13"/>
  <c r="I364" i="13"/>
  <c r="K340" i="13"/>
  <c r="L317" i="13"/>
  <c r="L315" i="13" s="1"/>
  <c r="L230" i="13"/>
  <c r="O189" i="13"/>
  <c r="I86" i="13"/>
  <c r="K86" i="13" s="1"/>
  <c r="N68" i="13"/>
  <c r="N66" i="13" s="1"/>
  <c r="K576" i="13"/>
  <c r="I260" i="13"/>
  <c r="K260" i="13" s="1"/>
  <c r="K193" i="13"/>
  <c r="N544" i="13"/>
  <c r="O351" i="13"/>
  <c r="L231" i="13"/>
  <c r="K651" i="13"/>
  <c r="I628" i="13"/>
  <c r="K628" i="13" s="1"/>
  <c r="K593" i="13"/>
  <c r="K379" i="13"/>
  <c r="N347" i="13"/>
  <c r="N345" i="13" s="1"/>
  <c r="N279" i="13"/>
  <c r="N277" i="13" s="1"/>
  <c r="L238" i="13"/>
  <c r="O238" i="13" s="1"/>
  <c r="I148" i="13"/>
  <c r="K148" i="13" s="1"/>
  <c r="N90" i="13"/>
  <c r="L68" i="13"/>
  <c r="O68" i="13" s="1"/>
  <c r="K823" i="13"/>
  <c r="O641" i="13"/>
  <c r="K561" i="13"/>
  <c r="K462" i="13"/>
  <c r="O449" i="13"/>
  <c r="O410" i="13"/>
  <c r="J364" i="13"/>
  <c r="K362" i="13"/>
  <c r="O353" i="13"/>
  <c r="P350" i="13"/>
  <c r="J327" i="13"/>
  <c r="K327" i="13" s="1"/>
  <c r="P333" i="13"/>
  <c r="O320" i="13"/>
  <c r="L318" i="13"/>
  <c r="P306" i="13"/>
  <c r="L300" i="13"/>
  <c r="L263" i="13"/>
  <c r="I248" i="13"/>
  <c r="K248" i="13" s="1"/>
  <c r="K190" i="13"/>
  <c r="N183" i="13"/>
  <c r="N181" i="13" s="1"/>
  <c r="O173" i="13"/>
  <c r="P157" i="13"/>
  <c r="N134" i="13"/>
  <c r="N132" i="13" s="1"/>
  <c r="P127" i="13"/>
  <c r="L121" i="13"/>
  <c r="O121" i="13" s="1"/>
  <c r="O91" i="13"/>
  <c r="N15" i="13"/>
  <c r="O806" i="13"/>
  <c r="L789" i="13"/>
  <c r="O789" i="13" s="1"/>
  <c r="M770" i="13"/>
  <c r="P770" i="13" s="1"/>
  <c r="J721" i="13"/>
  <c r="M685" i="13"/>
  <c r="P685" i="13" s="1"/>
  <c r="M634" i="13"/>
  <c r="M631" i="13" s="1"/>
  <c r="M629" i="13" s="1"/>
  <c r="N505" i="13"/>
  <c r="M449" i="13"/>
  <c r="M447" i="13" s="1"/>
  <c r="P447" i="13" s="1"/>
  <c r="K370" i="13"/>
  <c r="O350" i="13"/>
  <c r="L249" i="13"/>
  <c r="O249" i="13" s="1"/>
  <c r="M171" i="13"/>
  <c r="P171" i="13" s="1"/>
  <c r="L167" i="13"/>
  <c r="L165" i="13" s="1"/>
  <c r="O157" i="13"/>
  <c r="L151" i="13"/>
  <c r="O127" i="13"/>
  <c r="I76" i="13"/>
  <c r="K76" i="13" s="1"/>
  <c r="L55" i="13"/>
  <c r="M15" i="13"/>
  <c r="P788" i="13"/>
  <c r="M754" i="13"/>
  <c r="P754" i="13" s="1"/>
  <c r="O660" i="13"/>
  <c r="L658" i="13"/>
  <c r="N547" i="13"/>
  <c r="O547" i="13" s="1"/>
  <c r="O447" i="13"/>
  <c r="M408" i="13"/>
  <c r="P408" i="13" s="1"/>
  <c r="L304" i="13"/>
  <c r="O304" i="13" s="1"/>
  <c r="O269" i="13"/>
  <c r="P124" i="13"/>
  <c r="M94" i="13"/>
  <c r="P94" i="13" s="1"/>
  <c r="M72" i="13"/>
  <c r="P72" i="13" s="1"/>
  <c r="L229" i="12"/>
  <c r="P807" i="13"/>
  <c r="M737" i="13"/>
  <c r="P737" i="13" s="1"/>
  <c r="K620" i="13"/>
  <c r="K577" i="13"/>
  <c r="O549" i="13"/>
  <c r="K465" i="13"/>
  <c r="J433" i="13"/>
  <c r="J417" i="13" s="1"/>
  <c r="N404" i="13"/>
  <c r="N402" i="13" s="1"/>
  <c r="P303" i="13"/>
  <c r="N301" i="13"/>
  <c r="P301" i="13" s="1"/>
  <c r="N264" i="13"/>
  <c r="O264" i="13" s="1"/>
  <c r="N227" i="13"/>
  <c r="O93" i="13"/>
  <c r="L72" i="13"/>
  <c r="O72" i="13" s="1"/>
  <c r="N69" i="13"/>
  <c r="N773" i="13"/>
  <c r="N772" i="13"/>
  <c r="N770" i="13" s="1"/>
  <c r="L526" i="13"/>
  <c r="O526" i="13" s="1"/>
  <c r="M528" i="13"/>
  <c r="L525" i="13"/>
  <c r="O525" i="13" s="1"/>
  <c r="O528" i="13"/>
  <c r="M267" i="13"/>
  <c r="P267" i="13" s="1"/>
  <c r="P269" i="13"/>
  <c r="N740" i="13"/>
  <c r="N739" i="13"/>
  <c r="N737" i="13" s="1"/>
  <c r="L685" i="13"/>
  <c r="O685" i="13" s="1"/>
  <c r="P545" i="13"/>
  <c r="P524" i="13"/>
  <c r="N757" i="13"/>
  <c r="N756" i="13"/>
  <c r="N754" i="13" s="1"/>
  <c r="K669" i="13"/>
  <c r="N629" i="13"/>
  <c r="I543" i="13"/>
  <c r="K543" i="13" s="1"/>
  <c r="K559" i="13"/>
  <c r="O333" i="13"/>
  <c r="L331" i="13"/>
  <c r="L330" i="13"/>
  <c r="K828" i="13"/>
  <c r="K822" i="13"/>
  <c r="L786" i="13"/>
  <c r="O786" i="13" s="1"/>
  <c r="O630" i="13"/>
  <c r="K594" i="13"/>
  <c r="I417" i="13"/>
  <c r="K417" i="13" s="1"/>
  <c r="K355" i="13"/>
  <c r="L770" i="13"/>
  <c r="O770" i="13" s="1"/>
  <c r="N688" i="13"/>
  <c r="N687" i="13"/>
  <c r="N685" i="13" s="1"/>
  <c r="P445" i="13"/>
  <c r="P407" i="13"/>
  <c r="M404" i="13"/>
  <c r="P404" i="13" s="1"/>
  <c r="M405" i="13"/>
  <c r="P405" i="13" s="1"/>
  <c r="O15" i="13"/>
  <c r="K824" i="13"/>
  <c r="L754" i="13"/>
  <c r="O754" i="13" s="1"/>
  <c r="J592" i="13"/>
  <c r="K592" i="13" s="1"/>
  <c r="K568" i="13"/>
  <c r="P353" i="13"/>
  <c r="M351" i="13"/>
  <c r="P351" i="13" s="1"/>
  <c r="M347" i="13"/>
  <c r="M345" i="13" s="1"/>
  <c r="I276" i="13"/>
  <c r="K276" i="13" s="1"/>
  <c r="K287" i="13"/>
  <c r="P186" i="13"/>
  <c r="M183" i="13"/>
  <c r="N657" i="13"/>
  <c r="O657" i="13" s="1"/>
  <c r="L631" i="13"/>
  <c r="O631" i="13" s="1"/>
  <c r="L470" i="13"/>
  <c r="O470" i="13" s="1"/>
  <c r="N33" i="13"/>
  <c r="N422" i="13"/>
  <c r="P348" i="13"/>
  <c r="L184" i="13"/>
  <c r="O184" i="13" s="1"/>
  <c r="L183" i="13"/>
  <c r="O186" i="13"/>
  <c r="P182" i="13"/>
  <c r="K174" i="13"/>
  <c r="J164" i="13"/>
  <c r="K164" i="13" s="1"/>
  <c r="I112" i="13"/>
  <c r="K112" i="13" s="1"/>
  <c r="K649" i="12"/>
  <c r="K381" i="12"/>
  <c r="K378" i="12"/>
  <c r="O771" i="13"/>
  <c r="O755" i="13"/>
  <c r="O738" i="13"/>
  <c r="K675" i="13"/>
  <c r="N658" i="13"/>
  <c r="L632" i="13"/>
  <c r="O632" i="13" s="1"/>
  <c r="P630" i="13"/>
  <c r="N469" i="13"/>
  <c r="N467" i="13" s="1"/>
  <c r="N446" i="13"/>
  <c r="N444" i="13" s="1"/>
  <c r="L348" i="13"/>
  <c r="O348" i="13" s="1"/>
  <c r="O346" i="13"/>
  <c r="P320" i="13"/>
  <c r="N318" i="13"/>
  <c r="L283" i="13"/>
  <c r="O283" i="13" s="1"/>
  <c r="M264" i="13"/>
  <c r="M263" i="13"/>
  <c r="P266" i="13"/>
  <c r="I237" i="13"/>
  <c r="K244" i="13"/>
  <c r="I233" i="13"/>
  <c r="K233" i="13" s="1"/>
  <c r="N135" i="13"/>
  <c r="L94" i="13"/>
  <c r="O94" i="13" s="1"/>
  <c r="O96" i="13"/>
  <c r="I77" i="13"/>
  <c r="K79" i="13"/>
  <c r="K309" i="12"/>
  <c r="N807" i="13"/>
  <c r="N805" i="13" s="1"/>
  <c r="O791" i="13"/>
  <c r="N788" i="13"/>
  <c r="N786" i="13" s="1"/>
  <c r="M549" i="13"/>
  <c r="L546" i="13"/>
  <c r="O546" i="13" s="1"/>
  <c r="P504" i="13"/>
  <c r="O479" i="13"/>
  <c r="I442" i="13"/>
  <c r="K442" i="13" s="1"/>
  <c r="N391" i="13"/>
  <c r="N389" i="13" s="1"/>
  <c r="K365" i="13"/>
  <c r="M334" i="13"/>
  <c r="P334" i="13" s="1"/>
  <c r="I297" i="13"/>
  <c r="K297" i="13" s="1"/>
  <c r="P150" i="13"/>
  <c r="L134" i="13"/>
  <c r="M26" i="13"/>
  <c r="K674" i="13"/>
  <c r="I654" i="13"/>
  <c r="K654" i="13" s="1"/>
  <c r="O557" i="13"/>
  <c r="O545" i="13"/>
  <c r="J537" i="13"/>
  <c r="J522" i="13" s="1"/>
  <c r="L502" i="13"/>
  <c r="O502" i="13" s="1"/>
  <c r="L469" i="13"/>
  <c r="O445" i="13"/>
  <c r="I434" i="13"/>
  <c r="O407" i="13"/>
  <c r="P390" i="13"/>
  <c r="K381" i="13"/>
  <c r="K374" i="13"/>
  <c r="L347" i="13"/>
  <c r="O336" i="13"/>
  <c r="L334" i="13"/>
  <c r="O334" i="13" s="1"/>
  <c r="N331" i="13"/>
  <c r="O329" i="13"/>
  <c r="O170" i="13"/>
  <c r="N167" i="13"/>
  <c r="N165" i="13" s="1"/>
  <c r="N168" i="13"/>
  <c r="O168" i="13" s="1"/>
  <c r="K379" i="12"/>
  <c r="O690" i="13"/>
  <c r="K673" i="13"/>
  <c r="I522" i="13"/>
  <c r="N523" i="13"/>
  <c r="P468" i="13"/>
  <c r="P424" i="13"/>
  <c r="N421" i="13"/>
  <c r="N419" i="13" s="1"/>
  <c r="L404" i="13"/>
  <c r="M331" i="13"/>
  <c r="P323" i="13"/>
  <c r="N321" i="13"/>
  <c r="P321" i="13" s="1"/>
  <c r="N317" i="13"/>
  <c r="N315" i="13" s="1"/>
  <c r="L279" i="13"/>
  <c r="O282" i="13"/>
  <c r="K204" i="13"/>
  <c r="I197" i="13"/>
  <c r="K197" i="13" s="1"/>
  <c r="M184" i="13"/>
  <c r="P184" i="13" s="1"/>
  <c r="P170" i="13"/>
  <c r="M167" i="13"/>
  <c r="M168" i="13"/>
  <c r="K144" i="13"/>
  <c r="J143" i="13"/>
  <c r="N122" i="13"/>
  <c r="N121" i="13"/>
  <c r="N119" i="13" s="1"/>
  <c r="N26" i="13"/>
  <c r="O35" i="13"/>
  <c r="L29" i="13"/>
  <c r="L446" i="13"/>
  <c r="O446" i="13" s="1"/>
  <c r="M421" i="13"/>
  <c r="M391" i="13"/>
  <c r="P391" i="13" s="1"/>
  <c r="P329" i="13"/>
  <c r="M317" i="13"/>
  <c r="O303" i="13"/>
  <c r="I275" i="13"/>
  <c r="K275" i="13" s="1"/>
  <c r="K225" i="13"/>
  <c r="N151" i="13"/>
  <c r="N149" i="13" s="1"/>
  <c r="P137" i="13"/>
  <c r="M135" i="13"/>
  <c r="L90" i="13"/>
  <c r="L26" i="13"/>
  <c r="L24" i="13" s="1"/>
  <c r="N23" i="13"/>
  <c r="N21" i="13" s="1"/>
  <c r="L12" i="13"/>
  <c r="L19" i="13"/>
  <c r="O22" i="13"/>
  <c r="L36" i="13"/>
  <c r="O36" i="13" s="1"/>
  <c r="L33" i="13"/>
  <c r="M422" i="13"/>
  <c r="P422" i="13" s="1"/>
  <c r="L421" i="13"/>
  <c r="K325" i="13"/>
  <c r="K288" i="13"/>
  <c r="K224" i="13"/>
  <c r="L217" i="13"/>
  <c r="O217" i="13" s="1"/>
  <c r="M187" i="13"/>
  <c r="P187" i="13" s="1"/>
  <c r="K176" i="13"/>
  <c r="O137" i="13"/>
  <c r="L135" i="13"/>
  <c r="P93" i="13"/>
  <c r="M69" i="13"/>
  <c r="P69" i="13" s="1"/>
  <c r="P54" i="13"/>
  <c r="O266" i="13"/>
  <c r="L228" i="13"/>
  <c r="K215" i="13"/>
  <c r="L198" i="13"/>
  <c r="O198" i="13" s="1"/>
  <c r="L69" i="13"/>
  <c r="O69" i="13" s="1"/>
  <c r="P61" i="13"/>
  <c r="N59" i="13"/>
  <c r="O59" i="13" s="1"/>
  <c r="M279" i="13"/>
  <c r="M138" i="13"/>
  <c r="P138" i="13" s="1"/>
  <c r="M134" i="13"/>
  <c r="K99" i="13"/>
  <c r="I87" i="13"/>
  <c r="K87" i="13" s="1"/>
  <c r="O58" i="13"/>
  <c r="P58" i="13"/>
  <c r="N56" i="13"/>
  <c r="O56" i="13" s="1"/>
  <c r="P15" i="13"/>
  <c r="M23" i="13"/>
  <c r="M151" i="13"/>
  <c r="P151" i="13" s="1"/>
  <c r="M121" i="13"/>
  <c r="O67" i="13"/>
  <c r="M55" i="13"/>
  <c r="P49" i="13"/>
  <c r="P46" i="13"/>
  <c r="O42" i="13"/>
  <c r="L23" i="13"/>
  <c r="L21" i="13" s="1"/>
  <c r="N19" i="13"/>
  <c r="N12" i="13"/>
  <c r="O49" i="13"/>
  <c r="O46" i="13"/>
  <c r="P35" i="13"/>
  <c r="P22" i="13"/>
  <c r="M19" i="13"/>
  <c r="M12" i="13"/>
  <c r="N43" i="13"/>
  <c r="N41" i="13" s="1"/>
  <c r="N34" i="13"/>
  <c r="N44" i="13"/>
  <c r="O44" i="13" s="1"/>
  <c r="M43" i="13"/>
  <c r="M34" i="13"/>
  <c r="P34" i="13" s="1"/>
  <c r="N29" i="13"/>
  <c r="M29" i="13"/>
  <c r="L121" i="11"/>
  <c r="O121" i="11" s="1"/>
  <c r="L209" i="12"/>
  <c r="O209" i="12" s="1"/>
  <c r="K288" i="11"/>
  <c r="K355" i="12"/>
  <c r="M55" i="12"/>
  <c r="M53" i="12" s="1"/>
  <c r="K823" i="12"/>
  <c r="K466" i="12"/>
  <c r="O407" i="12"/>
  <c r="L231" i="12"/>
  <c r="I130" i="12"/>
  <c r="K130" i="12" s="1"/>
  <c r="K828" i="12"/>
  <c r="P394" i="12"/>
  <c r="J327" i="12"/>
  <c r="K327" i="12" s="1"/>
  <c r="K224" i="12"/>
  <c r="K193" i="12"/>
  <c r="P154" i="12"/>
  <c r="N404" i="12"/>
  <c r="N402" i="12" s="1"/>
  <c r="M632" i="12"/>
  <c r="P632" i="12" s="1"/>
  <c r="O528" i="12"/>
  <c r="O394" i="12"/>
  <c r="K362" i="12"/>
  <c r="P303" i="12"/>
  <c r="L280" i="12"/>
  <c r="O280" i="12" s="1"/>
  <c r="I276" i="12"/>
  <c r="K276" i="12" s="1"/>
  <c r="I248" i="12"/>
  <c r="K248" i="12" s="1"/>
  <c r="K190" i="12"/>
  <c r="M187" i="12"/>
  <c r="P187" i="12" s="1"/>
  <c r="M171" i="12"/>
  <c r="P171" i="12" s="1"/>
  <c r="P127" i="12"/>
  <c r="P96" i="12"/>
  <c r="K821" i="12"/>
  <c r="L786" i="12"/>
  <c r="O786" i="12" s="1"/>
  <c r="N300" i="12"/>
  <c r="K271" i="12"/>
  <c r="P186" i="12"/>
  <c r="N90" i="12"/>
  <c r="N88" i="12" s="1"/>
  <c r="O74" i="12"/>
  <c r="O71" i="12"/>
  <c r="O49" i="12"/>
  <c r="O320" i="12"/>
  <c r="M121" i="12"/>
  <c r="P121" i="12" s="1"/>
  <c r="M90" i="12"/>
  <c r="M88" i="12" s="1"/>
  <c r="O791" i="12"/>
  <c r="M43" i="12"/>
  <c r="M41" i="12" s="1"/>
  <c r="L454" i="11"/>
  <c r="O454" i="11" s="1"/>
  <c r="I442" i="12"/>
  <c r="K442" i="12" s="1"/>
  <c r="K340" i="12"/>
  <c r="K204" i="12"/>
  <c r="K159" i="12"/>
  <c r="L68" i="12"/>
  <c r="O68" i="12" s="1"/>
  <c r="L429" i="12"/>
  <c r="O429" i="12" s="1"/>
  <c r="O44" i="12"/>
  <c r="J143" i="9"/>
  <c r="J131" i="9" s="1"/>
  <c r="L230" i="11"/>
  <c r="M805" i="12"/>
  <c r="P805" i="12" s="1"/>
  <c r="L789" i="12"/>
  <c r="O789" i="12" s="1"/>
  <c r="I785" i="12"/>
  <c r="K785" i="12" s="1"/>
  <c r="M737" i="12"/>
  <c r="P737" i="12" s="1"/>
  <c r="L655" i="12"/>
  <c r="O655" i="12" s="1"/>
  <c r="K576" i="12"/>
  <c r="I522" i="12"/>
  <c r="K522" i="12" s="1"/>
  <c r="N505" i="12"/>
  <c r="N446" i="12"/>
  <c r="N444" i="12" s="1"/>
  <c r="O424" i="12"/>
  <c r="K369" i="12"/>
  <c r="K360" i="12"/>
  <c r="N317" i="12"/>
  <c r="N315" i="12" s="1"/>
  <c r="I314" i="12"/>
  <c r="K314" i="12" s="1"/>
  <c r="N298" i="12"/>
  <c r="L283" i="12"/>
  <c r="O283" i="12" s="1"/>
  <c r="M183" i="12"/>
  <c r="M181" i="12" s="1"/>
  <c r="K176" i="12"/>
  <c r="O154" i="12"/>
  <c r="K100" i="12"/>
  <c r="N43" i="12"/>
  <c r="N41" i="12" s="1"/>
  <c r="I143" i="9"/>
  <c r="I131" i="9" s="1"/>
  <c r="K365" i="10"/>
  <c r="N167" i="11"/>
  <c r="N165" i="11" s="1"/>
  <c r="N807" i="12"/>
  <c r="N805" i="12" s="1"/>
  <c r="L805" i="12"/>
  <c r="O805" i="12" s="1"/>
  <c r="L770" i="12"/>
  <c r="O770" i="12" s="1"/>
  <c r="M629" i="12"/>
  <c r="L546" i="12"/>
  <c r="O546" i="12" s="1"/>
  <c r="N502" i="12"/>
  <c r="L422" i="12"/>
  <c r="O422" i="12" s="1"/>
  <c r="L404" i="12"/>
  <c r="O404" i="12" s="1"/>
  <c r="L391" i="12"/>
  <c r="O391" i="12" s="1"/>
  <c r="K385" i="12"/>
  <c r="K359" i="12"/>
  <c r="N347" i="12"/>
  <c r="N345" i="12" s="1"/>
  <c r="P306" i="12"/>
  <c r="P282" i="12"/>
  <c r="P269" i="12"/>
  <c r="L217" i="12"/>
  <c r="O217" i="12" s="1"/>
  <c r="I143" i="12"/>
  <c r="P124" i="12"/>
  <c r="M122" i="12"/>
  <c r="P122" i="12" s="1"/>
  <c r="P93" i="12"/>
  <c r="M91" i="12"/>
  <c r="L43" i="12"/>
  <c r="L41" i="12" s="1"/>
  <c r="M29" i="12"/>
  <c r="J288" i="11"/>
  <c r="J275" i="11" s="1"/>
  <c r="K822" i="12"/>
  <c r="O410" i="12"/>
  <c r="O397" i="12"/>
  <c r="L317" i="12"/>
  <c r="O317" i="12" s="1"/>
  <c r="N301" i="12"/>
  <c r="N279" i="12"/>
  <c r="N277" i="12" s="1"/>
  <c r="O266" i="12"/>
  <c r="M151" i="12"/>
  <c r="P151" i="12" s="1"/>
  <c r="O140" i="12"/>
  <c r="P61" i="12"/>
  <c r="J721" i="12"/>
  <c r="N523" i="12"/>
  <c r="L279" i="12"/>
  <c r="O279" i="12" s="1"/>
  <c r="L263" i="12"/>
  <c r="L261" i="12" s="1"/>
  <c r="P157" i="12"/>
  <c r="P58" i="12"/>
  <c r="M56" i="12"/>
  <c r="K827" i="12"/>
  <c r="K824" i="12"/>
  <c r="M786" i="12"/>
  <c r="P786" i="12" s="1"/>
  <c r="M685" i="12"/>
  <c r="P685" i="12" s="1"/>
  <c r="K651" i="12"/>
  <c r="N547" i="12"/>
  <c r="N526" i="12"/>
  <c r="N405" i="12"/>
  <c r="K370" i="12"/>
  <c r="O323" i="12"/>
  <c r="M300" i="12"/>
  <c r="M263" i="12"/>
  <c r="M261" i="12" s="1"/>
  <c r="L230" i="12"/>
  <c r="M135" i="12"/>
  <c r="P135" i="12" s="1"/>
  <c r="K98" i="12"/>
  <c r="P54" i="12"/>
  <c r="O46" i="12"/>
  <c r="K593" i="12"/>
  <c r="J592" i="12"/>
  <c r="K592" i="12" s="1"/>
  <c r="L467" i="12"/>
  <c r="O467" i="12" s="1"/>
  <c r="K669" i="12"/>
  <c r="K673" i="12"/>
  <c r="P468" i="12"/>
  <c r="L447" i="12"/>
  <c r="O447" i="12" s="1"/>
  <c r="M449" i="12"/>
  <c r="O449" i="12"/>
  <c r="J433" i="12"/>
  <c r="J417" i="12" s="1"/>
  <c r="K435" i="12"/>
  <c r="M549" i="11"/>
  <c r="P549" i="11" s="1"/>
  <c r="O806" i="12"/>
  <c r="O787" i="12"/>
  <c r="P771" i="12"/>
  <c r="P755" i="12"/>
  <c r="P738" i="12"/>
  <c r="N687" i="12"/>
  <c r="N685" i="12" s="1"/>
  <c r="L658" i="12"/>
  <c r="O658" i="12" s="1"/>
  <c r="O656" i="12"/>
  <c r="L639" i="12"/>
  <c r="O639" i="12" s="1"/>
  <c r="P546" i="12"/>
  <c r="L446" i="12"/>
  <c r="P407" i="12"/>
  <c r="M405" i="12"/>
  <c r="P405" i="12" s="1"/>
  <c r="M404" i="12"/>
  <c r="J365" i="12"/>
  <c r="J364" i="12" s="1"/>
  <c r="K372" i="12"/>
  <c r="L330" i="12"/>
  <c r="O333" i="12"/>
  <c r="P329" i="12"/>
  <c r="M318" i="12"/>
  <c r="P318" i="12" s="1"/>
  <c r="M317" i="12"/>
  <c r="P317" i="12" s="1"/>
  <c r="P320" i="12"/>
  <c r="J164" i="12"/>
  <c r="K164" i="12" s="1"/>
  <c r="K174" i="12"/>
  <c r="P120" i="12"/>
  <c r="M72" i="12"/>
  <c r="P72" i="12" s="1"/>
  <c r="P74" i="12"/>
  <c r="M68" i="12"/>
  <c r="P68" i="12" s="1"/>
  <c r="K672" i="12"/>
  <c r="I443" i="12"/>
  <c r="K443" i="12" s="1"/>
  <c r="K462" i="12"/>
  <c r="I364" i="12"/>
  <c r="P140" i="12"/>
  <c r="M138" i="12"/>
  <c r="P138" i="12" s="1"/>
  <c r="M134" i="12"/>
  <c r="P397" i="11"/>
  <c r="K647" i="12"/>
  <c r="P634" i="12"/>
  <c r="N631" i="12"/>
  <c r="P631" i="12" s="1"/>
  <c r="J628" i="12"/>
  <c r="K628" i="12" s="1"/>
  <c r="M545" i="12"/>
  <c r="P555" i="12"/>
  <c r="I543" i="12"/>
  <c r="K543" i="12" s="1"/>
  <c r="J537" i="12"/>
  <c r="J522" i="12" s="1"/>
  <c r="L525" i="12"/>
  <c r="O525" i="12" s="1"/>
  <c r="O524" i="12"/>
  <c r="O472" i="12"/>
  <c r="L470" i="12"/>
  <c r="O470" i="12" s="1"/>
  <c r="M472" i="12"/>
  <c r="N469" i="12"/>
  <c r="N467" i="12" s="1"/>
  <c r="P285" i="12"/>
  <c r="O285" i="11"/>
  <c r="O282" i="11"/>
  <c r="N788" i="12"/>
  <c r="N786" i="12" s="1"/>
  <c r="O772" i="12"/>
  <c r="O756" i="12"/>
  <c r="O739" i="12"/>
  <c r="P686" i="12"/>
  <c r="K675" i="12"/>
  <c r="N657" i="12"/>
  <c r="N655" i="12" s="1"/>
  <c r="M655" i="12"/>
  <c r="P655" i="12" s="1"/>
  <c r="O634" i="12"/>
  <c r="L631" i="12"/>
  <c r="L555" i="12"/>
  <c r="O555" i="12" s="1"/>
  <c r="O557" i="12"/>
  <c r="N544" i="12"/>
  <c r="L502" i="12"/>
  <c r="O502" i="12" s="1"/>
  <c r="O503" i="12"/>
  <c r="I433" i="12"/>
  <c r="M422" i="12"/>
  <c r="P422" i="12" s="1"/>
  <c r="P424" i="12"/>
  <c r="O420" i="12"/>
  <c r="M395" i="12"/>
  <c r="P395" i="12" s="1"/>
  <c r="M391" i="12"/>
  <c r="P397" i="12"/>
  <c r="O351" i="12"/>
  <c r="N348" i="12"/>
  <c r="O348" i="12" s="1"/>
  <c r="O299" i="12"/>
  <c r="L267" i="12"/>
  <c r="O267" i="12" s="1"/>
  <c r="O269" i="12"/>
  <c r="L228" i="12"/>
  <c r="L249" i="12"/>
  <c r="O249" i="12" s="1"/>
  <c r="L151" i="12"/>
  <c r="O61" i="12"/>
  <c r="L26" i="12"/>
  <c r="L59" i="12"/>
  <c r="O59" i="12" s="1"/>
  <c r="L477" i="12"/>
  <c r="O477" i="12" s="1"/>
  <c r="O479" i="12"/>
  <c r="P74" i="11"/>
  <c r="N772" i="12"/>
  <c r="N770" i="12" s="1"/>
  <c r="N756" i="12"/>
  <c r="N754" i="12" s="1"/>
  <c r="N739" i="12"/>
  <c r="N737" i="12" s="1"/>
  <c r="O545" i="12"/>
  <c r="M523" i="12"/>
  <c r="P523" i="12" s="1"/>
  <c r="L454" i="12"/>
  <c r="O454" i="12" s="1"/>
  <c r="O456" i="12"/>
  <c r="P445" i="12"/>
  <c r="I434" i="12"/>
  <c r="K438" i="12"/>
  <c r="P410" i="12"/>
  <c r="M408" i="12"/>
  <c r="P408" i="12" s="1"/>
  <c r="P334" i="12"/>
  <c r="O316" i="12"/>
  <c r="L187" i="12"/>
  <c r="O187" i="12" s="1"/>
  <c r="L183" i="12"/>
  <c r="O189" i="12"/>
  <c r="M168" i="12"/>
  <c r="P170" i="12"/>
  <c r="M167" i="12"/>
  <c r="M165" i="12" s="1"/>
  <c r="O67" i="12"/>
  <c r="O35" i="12"/>
  <c r="L29" i="12"/>
  <c r="L15" i="12"/>
  <c r="L301" i="12"/>
  <c r="O301" i="12" s="1"/>
  <c r="L300" i="12"/>
  <c r="O300" i="12" s="1"/>
  <c r="O303" i="12"/>
  <c r="L687" i="12"/>
  <c r="O687" i="12" s="1"/>
  <c r="O690" i="12"/>
  <c r="K674" i="12"/>
  <c r="O660" i="12"/>
  <c r="I654" i="12"/>
  <c r="K654" i="12" s="1"/>
  <c r="L632" i="12"/>
  <c r="O632" i="12" s="1"/>
  <c r="M547" i="12"/>
  <c r="P547" i="12" s="1"/>
  <c r="P549" i="12"/>
  <c r="L533" i="12"/>
  <c r="O533" i="12" s="1"/>
  <c r="O535" i="12"/>
  <c r="M502" i="12"/>
  <c r="P502" i="12" s="1"/>
  <c r="M421" i="12"/>
  <c r="M351" i="12"/>
  <c r="P351" i="12" s="1"/>
  <c r="P353" i="12"/>
  <c r="M347" i="12"/>
  <c r="M345" i="12" s="1"/>
  <c r="N331" i="12"/>
  <c r="P331" i="12" s="1"/>
  <c r="N330" i="12"/>
  <c r="N328" i="12" s="1"/>
  <c r="M321" i="12"/>
  <c r="P321" i="12" s="1"/>
  <c r="P323" i="12"/>
  <c r="L304" i="12"/>
  <c r="O304" i="12" s="1"/>
  <c r="O306" i="12"/>
  <c r="L238" i="12"/>
  <c r="K197" i="12"/>
  <c r="P166" i="12"/>
  <c r="L155" i="12"/>
  <c r="O155" i="12" s="1"/>
  <c r="I87" i="12"/>
  <c r="K87" i="12" s="1"/>
  <c r="K99" i="12"/>
  <c r="L94" i="12"/>
  <c r="O94" i="12" s="1"/>
  <c r="O96" i="12"/>
  <c r="L90" i="12"/>
  <c r="N391" i="12"/>
  <c r="N389" i="12" s="1"/>
  <c r="P336" i="12"/>
  <c r="N264" i="12"/>
  <c r="P264" i="12" s="1"/>
  <c r="P266" i="12"/>
  <c r="K225" i="12"/>
  <c r="N183" i="12"/>
  <c r="N181" i="12" s="1"/>
  <c r="N184" i="12"/>
  <c r="O184" i="12" s="1"/>
  <c r="O173" i="12"/>
  <c r="K82" i="12"/>
  <c r="I76" i="12"/>
  <c r="O350" i="12"/>
  <c r="L334" i="12"/>
  <c r="O334" i="12" s="1"/>
  <c r="I275" i="12"/>
  <c r="K275" i="12" s="1"/>
  <c r="K288" i="12"/>
  <c r="N280" i="12"/>
  <c r="I233" i="12"/>
  <c r="K233" i="12" s="1"/>
  <c r="P182" i="12"/>
  <c r="J143" i="12"/>
  <c r="J131" i="12" s="1"/>
  <c r="K144" i="12"/>
  <c r="O133" i="12"/>
  <c r="O124" i="12"/>
  <c r="L122" i="12"/>
  <c r="O122" i="12" s="1"/>
  <c r="L121" i="12"/>
  <c r="N121" i="12"/>
  <c r="N119" i="12" s="1"/>
  <c r="I77" i="12"/>
  <c r="N33" i="12"/>
  <c r="N421" i="12"/>
  <c r="N419" i="12" s="1"/>
  <c r="K244" i="12"/>
  <c r="L167" i="12"/>
  <c r="N152" i="12"/>
  <c r="N151" i="12"/>
  <c r="N149" i="12" s="1"/>
  <c r="L135" i="12"/>
  <c r="O135" i="12" s="1"/>
  <c r="L134" i="12"/>
  <c r="O134" i="12" s="1"/>
  <c r="N134" i="12"/>
  <c r="N132" i="12" s="1"/>
  <c r="J86" i="12"/>
  <c r="K86" i="12" s="1"/>
  <c r="L12" i="12"/>
  <c r="L19" i="12"/>
  <c r="O22" i="12"/>
  <c r="K237" i="12"/>
  <c r="P15" i="12"/>
  <c r="L36" i="12"/>
  <c r="O36" i="12" s="1"/>
  <c r="L33" i="12"/>
  <c r="L31" i="12" s="1"/>
  <c r="L421" i="12"/>
  <c r="O353" i="12"/>
  <c r="P350" i="12"/>
  <c r="P346" i="12"/>
  <c r="P333" i="12"/>
  <c r="M279" i="12"/>
  <c r="N263" i="12"/>
  <c r="N167" i="12"/>
  <c r="N165" i="12" s="1"/>
  <c r="N168" i="12"/>
  <c r="O168" i="12" s="1"/>
  <c r="N91" i="12"/>
  <c r="O91" i="12" s="1"/>
  <c r="O93" i="12"/>
  <c r="P67" i="12"/>
  <c r="N56" i="12"/>
  <c r="O56" i="12" s="1"/>
  <c r="N55" i="12"/>
  <c r="L347" i="12"/>
  <c r="M330" i="12"/>
  <c r="L198" i="12"/>
  <c r="O198" i="12" s="1"/>
  <c r="L125" i="12"/>
  <c r="O125" i="12" s="1"/>
  <c r="I112" i="12"/>
  <c r="K112" i="12" s="1"/>
  <c r="N68" i="12"/>
  <c r="N66" i="12" s="1"/>
  <c r="N23" i="12"/>
  <c r="N21" i="12" s="1"/>
  <c r="M34" i="12"/>
  <c r="P34" i="12" s="1"/>
  <c r="P36" i="12"/>
  <c r="O58" i="12"/>
  <c r="M44" i="12"/>
  <c r="P44" i="12" s="1"/>
  <c r="P46" i="12"/>
  <c r="M23" i="12"/>
  <c r="P59" i="12"/>
  <c r="N26" i="12"/>
  <c r="P29" i="12"/>
  <c r="O186" i="12"/>
  <c r="O170" i="12"/>
  <c r="M69" i="12"/>
  <c r="P69" i="12" s="1"/>
  <c r="P71" i="12"/>
  <c r="L55" i="12"/>
  <c r="M47" i="12"/>
  <c r="P47" i="12" s="1"/>
  <c r="M26" i="12"/>
  <c r="M24" i="12" s="1"/>
  <c r="P49" i="12"/>
  <c r="N47" i="12"/>
  <c r="L23" i="12"/>
  <c r="N19" i="12"/>
  <c r="N12" i="12"/>
  <c r="M19" i="12"/>
  <c r="M12" i="12"/>
  <c r="N34" i="12"/>
  <c r="N29" i="12"/>
  <c r="P32" i="12"/>
  <c r="P25" i="12"/>
  <c r="M660" i="11"/>
  <c r="P660" i="11" s="1"/>
  <c r="K466" i="11"/>
  <c r="K372" i="11"/>
  <c r="K369" i="11"/>
  <c r="K828" i="10"/>
  <c r="K374" i="11"/>
  <c r="I314" i="11"/>
  <c r="K314" i="11" s="1"/>
  <c r="K111" i="11"/>
  <c r="K649" i="11"/>
  <c r="L547" i="11"/>
  <c r="O547" i="11" s="1"/>
  <c r="K385" i="11"/>
  <c r="K381" i="11"/>
  <c r="O660" i="11"/>
  <c r="K360" i="11"/>
  <c r="O333" i="11"/>
  <c r="N263" i="11"/>
  <c r="N261" i="11" s="1"/>
  <c r="L183" i="11"/>
  <c r="L181" i="11" s="1"/>
  <c r="L151" i="11"/>
  <c r="O151" i="11" s="1"/>
  <c r="M404" i="10"/>
  <c r="P404" i="10" s="1"/>
  <c r="K647" i="11"/>
  <c r="K537" i="11"/>
  <c r="L304" i="11"/>
  <c r="O304" i="11" s="1"/>
  <c r="L688" i="10"/>
  <c r="O688" i="10" s="1"/>
  <c r="P410" i="11"/>
  <c r="L408" i="11"/>
  <c r="O408" i="11" s="1"/>
  <c r="J364" i="11"/>
  <c r="O350" i="11"/>
  <c r="P336" i="11"/>
  <c r="L263" i="11"/>
  <c r="L134" i="11"/>
  <c r="O134" i="11" s="1"/>
  <c r="O61" i="11"/>
  <c r="O58" i="11"/>
  <c r="K379" i="10"/>
  <c r="I364" i="10"/>
  <c r="K561" i="11"/>
  <c r="O407" i="11"/>
  <c r="K355" i="11"/>
  <c r="O269" i="11"/>
  <c r="I216" i="11"/>
  <c r="K216" i="11" s="1"/>
  <c r="L187" i="11"/>
  <c r="O187" i="11" s="1"/>
  <c r="P184" i="11"/>
  <c r="L155" i="11"/>
  <c r="O155" i="11" s="1"/>
  <c r="M55" i="11"/>
  <c r="M53" i="11" s="1"/>
  <c r="O472" i="11"/>
  <c r="P331" i="11"/>
  <c r="K651" i="11"/>
  <c r="K569" i="11"/>
  <c r="M391" i="11"/>
  <c r="M389" i="11" s="1"/>
  <c r="P389" i="11" s="1"/>
  <c r="P266" i="11"/>
  <c r="L231" i="11"/>
  <c r="L217" i="11"/>
  <c r="O217" i="11" s="1"/>
  <c r="K193" i="11"/>
  <c r="P140" i="11"/>
  <c r="P137" i="11"/>
  <c r="L135" i="11"/>
  <c r="O135" i="11" s="1"/>
  <c r="P49" i="11"/>
  <c r="J721" i="11"/>
  <c r="K669" i="11"/>
  <c r="M523" i="11"/>
  <c r="P523" i="11" s="1"/>
  <c r="K827" i="11"/>
  <c r="K824" i="11"/>
  <c r="K821" i="11"/>
  <c r="N805" i="11"/>
  <c r="M805" i="11"/>
  <c r="P805" i="11" s="1"/>
  <c r="I785" i="11"/>
  <c r="K785" i="11" s="1"/>
  <c r="L770" i="11"/>
  <c r="O770" i="11" s="1"/>
  <c r="M737" i="11"/>
  <c r="P737" i="11" s="1"/>
  <c r="O658" i="11"/>
  <c r="N632" i="11"/>
  <c r="L555" i="11"/>
  <c r="O555" i="11" s="1"/>
  <c r="N547" i="11"/>
  <c r="L502" i="11"/>
  <c r="O502" i="11" s="1"/>
  <c r="K460" i="11"/>
  <c r="M444" i="11"/>
  <c r="P444" i="11" s="1"/>
  <c r="P407" i="11"/>
  <c r="N391" i="11"/>
  <c r="N389" i="11" s="1"/>
  <c r="M392" i="11"/>
  <c r="P392" i="11" s="1"/>
  <c r="K370" i="11"/>
  <c r="K359" i="11"/>
  <c r="M347" i="11"/>
  <c r="M345" i="11" s="1"/>
  <c r="O336" i="11"/>
  <c r="O331" i="11"/>
  <c r="M321" i="11"/>
  <c r="P321" i="11" s="1"/>
  <c r="O266" i="11"/>
  <c r="I174" i="11"/>
  <c r="K174" i="11" s="1"/>
  <c r="O154" i="11"/>
  <c r="O127" i="11"/>
  <c r="M94" i="11"/>
  <c r="P94" i="11" s="1"/>
  <c r="L68" i="11"/>
  <c r="O68" i="11" s="1"/>
  <c r="L55" i="11"/>
  <c r="L53" i="11" s="1"/>
  <c r="L43" i="11"/>
  <c r="L41" i="11" s="1"/>
  <c r="M15" i="11"/>
  <c r="L805" i="11"/>
  <c r="O805" i="11" s="1"/>
  <c r="J722" i="11"/>
  <c r="O641" i="11"/>
  <c r="N629" i="11"/>
  <c r="I628" i="11"/>
  <c r="K628" i="11" s="1"/>
  <c r="L533" i="11"/>
  <c r="O533" i="11" s="1"/>
  <c r="M472" i="11"/>
  <c r="M469" i="11" s="1"/>
  <c r="K465" i="11"/>
  <c r="N446" i="11"/>
  <c r="N444" i="11" s="1"/>
  <c r="I434" i="11"/>
  <c r="K434" i="11" s="1"/>
  <c r="L318" i="11"/>
  <c r="O318" i="11" s="1"/>
  <c r="K287" i="11"/>
  <c r="N264" i="11"/>
  <c r="P264" i="11" s="1"/>
  <c r="L228" i="11"/>
  <c r="I208" i="11"/>
  <c r="K208" i="11" s="1"/>
  <c r="L198" i="11"/>
  <c r="O198" i="11" s="1"/>
  <c r="M187" i="11"/>
  <c r="P187" i="11" s="1"/>
  <c r="M171" i="11"/>
  <c r="P171" i="11" s="1"/>
  <c r="N168" i="11"/>
  <c r="P168" i="11" s="1"/>
  <c r="N151" i="11"/>
  <c r="N149" i="11" s="1"/>
  <c r="L152" i="11"/>
  <c r="O152" i="11" s="1"/>
  <c r="L94" i="11"/>
  <c r="O94" i="11" s="1"/>
  <c r="M12" i="11"/>
  <c r="K98" i="9"/>
  <c r="K822" i="10"/>
  <c r="K826" i="11"/>
  <c r="K823" i="11"/>
  <c r="P755" i="11"/>
  <c r="K379" i="11"/>
  <c r="J327" i="11"/>
  <c r="K327" i="11" s="1"/>
  <c r="P333" i="11"/>
  <c r="M317" i="11"/>
  <c r="M315" i="11" s="1"/>
  <c r="P315" i="11" s="1"/>
  <c r="P269" i="11"/>
  <c r="O124" i="11"/>
  <c r="L72" i="11"/>
  <c r="O72" i="11" s="1"/>
  <c r="O25" i="11"/>
  <c r="L789" i="11"/>
  <c r="O789" i="11" s="1"/>
  <c r="M786" i="11"/>
  <c r="P786" i="11" s="1"/>
  <c r="O634" i="11"/>
  <c r="M629" i="11"/>
  <c r="P629" i="11" s="1"/>
  <c r="P555" i="11"/>
  <c r="K338" i="11"/>
  <c r="N300" i="11"/>
  <c r="N298" i="11" s="1"/>
  <c r="L301" i="11"/>
  <c r="O301" i="11" s="1"/>
  <c r="L249" i="11"/>
  <c r="O249" i="11" s="1"/>
  <c r="L209" i="11"/>
  <c r="O209" i="11" s="1"/>
  <c r="M167" i="11"/>
  <c r="M165" i="11" s="1"/>
  <c r="L122" i="11"/>
  <c r="O122" i="11" s="1"/>
  <c r="I112" i="11"/>
  <c r="K112" i="11" s="1"/>
  <c r="M90" i="11"/>
  <c r="M88" i="11" s="1"/>
  <c r="P71" i="11"/>
  <c r="P46" i="11"/>
  <c r="N15" i="11"/>
  <c r="N19" i="11"/>
  <c r="K372" i="10"/>
  <c r="K369" i="10"/>
  <c r="O91" i="10"/>
  <c r="K828" i="11"/>
  <c r="K825" i="11"/>
  <c r="K822" i="11"/>
  <c r="O806" i="11"/>
  <c r="M770" i="11"/>
  <c r="P770" i="11" s="1"/>
  <c r="L688" i="11"/>
  <c r="O688" i="11" s="1"/>
  <c r="L404" i="11"/>
  <c r="O404" i="11" s="1"/>
  <c r="L395" i="11"/>
  <c r="O395" i="11" s="1"/>
  <c r="K362" i="11"/>
  <c r="O353" i="11"/>
  <c r="N330" i="11"/>
  <c r="N328" i="11" s="1"/>
  <c r="M283" i="11"/>
  <c r="P283" i="11" s="1"/>
  <c r="K204" i="11"/>
  <c r="M183" i="11"/>
  <c r="M181" i="11" s="1"/>
  <c r="O170" i="11"/>
  <c r="L138" i="11"/>
  <c r="O138" i="11" s="1"/>
  <c r="K99" i="11"/>
  <c r="O93" i="11"/>
  <c r="I77" i="11"/>
  <c r="I65" i="11" s="1"/>
  <c r="K65" i="11" s="1"/>
  <c r="N29" i="11"/>
  <c r="L685" i="11"/>
  <c r="O685" i="11" s="1"/>
  <c r="O687" i="11"/>
  <c r="P631" i="11"/>
  <c r="K593" i="11"/>
  <c r="K576" i="11"/>
  <c r="J559" i="11"/>
  <c r="L786" i="11"/>
  <c r="O786" i="11" s="1"/>
  <c r="N301" i="11"/>
  <c r="M279" i="10"/>
  <c r="P279" i="10" s="1"/>
  <c r="N657" i="11"/>
  <c r="N655" i="11" s="1"/>
  <c r="M632" i="11"/>
  <c r="P632" i="11" s="1"/>
  <c r="L631" i="11"/>
  <c r="O631" i="11" s="1"/>
  <c r="L33" i="11"/>
  <c r="L31" i="11" s="1"/>
  <c r="M424" i="11"/>
  <c r="O424" i="11"/>
  <c r="L421" i="11"/>
  <c r="K378" i="11"/>
  <c r="K340" i="11"/>
  <c r="L317" i="11"/>
  <c r="O317" i="11" s="1"/>
  <c r="P303" i="11"/>
  <c r="M301" i="11"/>
  <c r="P301" i="11" s="1"/>
  <c r="L238" i="11"/>
  <c r="L229" i="11"/>
  <c r="M34" i="11"/>
  <c r="P34" i="11" s="1"/>
  <c r="P36" i="11"/>
  <c r="L391" i="11"/>
  <c r="O391" i="11" s="1"/>
  <c r="O262" i="11"/>
  <c r="K675" i="11"/>
  <c r="L632" i="11"/>
  <c r="O632" i="11" s="1"/>
  <c r="P353" i="11"/>
  <c r="N351" i="11"/>
  <c r="N347" i="11"/>
  <c r="N345" i="11" s="1"/>
  <c r="P278" i="11"/>
  <c r="N152" i="11"/>
  <c r="P127" i="11"/>
  <c r="M125" i="11"/>
  <c r="P125" i="11" s="1"/>
  <c r="L36" i="11"/>
  <c r="O36" i="11" s="1"/>
  <c r="O15" i="11"/>
  <c r="O690" i="10"/>
  <c r="O431" i="10"/>
  <c r="O791" i="11"/>
  <c r="N788" i="11"/>
  <c r="N786" i="11" s="1"/>
  <c r="O772" i="11"/>
  <c r="O756" i="11"/>
  <c r="O739" i="11"/>
  <c r="N687" i="11"/>
  <c r="N685" i="11" s="1"/>
  <c r="L657" i="11"/>
  <c r="P634" i="11"/>
  <c r="O630" i="11"/>
  <c r="I592" i="11"/>
  <c r="K592" i="11" s="1"/>
  <c r="K538" i="11"/>
  <c r="J537" i="11"/>
  <c r="J522" i="11" s="1"/>
  <c r="L525" i="11"/>
  <c r="O525" i="11" s="1"/>
  <c r="N502" i="11"/>
  <c r="I443" i="11"/>
  <c r="K443" i="11" s="1"/>
  <c r="K365" i="11"/>
  <c r="I364" i="11"/>
  <c r="M300" i="11"/>
  <c r="P300" i="11" s="1"/>
  <c r="K78" i="11"/>
  <c r="I76" i="11"/>
  <c r="N59" i="11"/>
  <c r="O59" i="11" s="1"/>
  <c r="K271" i="11"/>
  <c r="I260" i="11"/>
  <c r="K260" i="11" s="1"/>
  <c r="O46" i="10"/>
  <c r="N772" i="11"/>
  <c r="N770" i="11" s="1"/>
  <c r="N756" i="11"/>
  <c r="N754" i="11" s="1"/>
  <c r="N739" i="11"/>
  <c r="N737" i="11" s="1"/>
  <c r="K674" i="11"/>
  <c r="I654" i="11"/>
  <c r="K654" i="11" s="1"/>
  <c r="N544" i="11"/>
  <c r="L546" i="11"/>
  <c r="O546" i="11" s="1"/>
  <c r="L446" i="11"/>
  <c r="I233" i="11"/>
  <c r="K233" i="11" s="1"/>
  <c r="O186" i="11"/>
  <c r="L184" i="11"/>
  <c r="O184" i="11" s="1"/>
  <c r="K145" i="11"/>
  <c r="N121" i="11"/>
  <c r="N119" i="11" s="1"/>
  <c r="P91" i="11"/>
  <c r="M9" i="11"/>
  <c r="P12" i="11"/>
  <c r="O150" i="11"/>
  <c r="K359" i="10"/>
  <c r="P266" i="10"/>
  <c r="O690" i="11"/>
  <c r="K673" i="11"/>
  <c r="P545" i="11"/>
  <c r="O545" i="11"/>
  <c r="L429" i="11"/>
  <c r="O429" i="11" s="1"/>
  <c r="L392" i="11"/>
  <c r="O392" i="11" s="1"/>
  <c r="P350" i="11"/>
  <c r="N348" i="11"/>
  <c r="P348" i="11" s="1"/>
  <c r="L321" i="11"/>
  <c r="O321" i="11" s="1"/>
  <c r="P306" i="11"/>
  <c r="M304" i="11"/>
  <c r="P304" i="11" s="1"/>
  <c r="P299" i="11"/>
  <c r="N279" i="11"/>
  <c r="N277" i="11" s="1"/>
  <c r="P262" i="11"/>
  <c r="I248" i="11"/>
  <c r="K248" i="11" s="1"/>
  <c r="K255" i="11"/>
  <c r="P150" i="11"/>
  <c r="K143" i="11"/>
  <c r="I131" i="11"/>
  <c r="K131" i="11" s="1"/>
  <c r="M121" i="11"/>
  <c r="P121" i="11" s="1"/>
  <c r="O91" i="11"/>
  <c r="N23" i="11"/>
  <c r="N21" i="11" s="1"/>
  <c r="N469" i="11"/>
  <c r="N467" i="11" s="1"/>
  <c r="K435" i="11"/>
  <c r="J433" i="11"/>
  <c r="J417" i="11" s="1"/>
  <c r="K417" i="11" s="1"/>
  <c r="N404" i="11"/>
  <c r="N402" i="11" s="1"/>
  <c r="P320" i="11"/>
  <c r="O316" i="11"/>
  <c r="K309" i="11"/>
  <c r="L300" i="11"/>
  <c r="O300" i="11" s="1"/>
  <c r="M279" i="11"/>
  <c r="P279" i="11" s="1"/>
  <c r="L279" i="11"/>
  <c r="M263" i="11"/>
  <c r="K244" i="11"/>
  <c r="I237" i="11"/>
  <c r="L171" i="11"/>
  <c r="O171" i="11" s="1"/>
  <c r="P154" i="11"/>
  <c r="M152" i="11"/>
  <c r="P152" i="11" s="1"/>
  <c r="J143" i="11"/>
  <c r="J131" i="11" s="1"/>
  <c r="P120" i="11"/>
  <c r="L90" i="11"/>
  <c r="P61" i="11"/>
  <c r="M59" i="11"/>
  <c r="P54" i="11"/>
  <c r="L26" i="11"/>
  <c r="L12" i="11"/>
  <c r="L19" i="11"/>
  <c r="O22" i="11"/>
  <c r="O528" i="11"/>
  <c r="N525" i="11"/>
  <c r="N523" i="11" s="1"/>
  <c r="O479" i="11"/>
  <c r="O449" i="11"/>
  <c r="M404" i="11"/>
  <c r="L347" i="11"/>
  <c r="M330" i="11"/>
  <c r="N122" i="11"/>
  <c r="N56" i="11"/>
  <c r="O56" i="11" s="1"/>
  <c r="P15" i="11"/>
  <c r="L469" i="11"/>
  <c r="O469" i="11" s="1"/>
  <c r="N33" i="11"/>
  <c r="N421" i="11"/>
  <c r="N419" i="11" s="1"/>
  <c r="L330" i="11"/>
  <c r="N317" i="11"/>
  <c r="N315" i="11" s="1"/>
  <c r="M151" i="11"/>
  <c r="P151" i="11" s="1"/>
  <c r="P124" i="11"/>
  <c r="M122" i="11"/>
  <c r="P122" i="11" s="1"/>
  <c r="K87" i="11"/>
  <c r="P58" i="11"/>
  <c r="M56" i="11"/>
  <c r="O35" i="11"/>
  <c r="M23" i="11"/>
  <c r="P282" i="11"/>
  <c r="L167" i="11"/>
  <c r="P157" i="11"/>
  <c r="M155" i="11"/>
  <c r="P155" i="11" s="1"/>
  <c r="K98" i="11"/>
  <c r="I86" i="11"/>
  <c r="K86" i="11" s="1"/>
  <c r="N55" i="11"/>
  <c r="N53" i="11" s="1"/>
  <c r="L29" i="11"/>
  <c r="L23" i="11"/>
  <c r="N12" i="11"/>
  <c r="P186" i="11"/>
  <c r="O182" i="11"/>
  <c r="P170" i="11"/>
  <c r="O166" i="11"/>
  <c r="K159" i="11"/>
  <c r="K144" i="11"/>
  <c r="O137" i="11"/>
  <c r="P93" i="11"/>
  <c r="O89" i="11"/>
  <c r="O71" i="11"/>
  <c r="O49" i="11"/>
  <c r="O46" i="11"/>
  <c r="P35" i="11"/>
  <c r="N26" i="11"/>
  <c r="P22" i="11"/>
  <c r="M19" i="11"/>
  <c r="N134" i="11"/>
  <c r="N132" i="11" s="1"/>
  <c r="I130" i="11"/>
  <c r="K130" i="11" s="1"/>
  <c r="K115" i="11"/>
  <c r="K79" i="11"/>
  <c r="N68" i="11"/>
  <c r="N66" i="11" s="1"/>
  <c r="N43" i="11"/>
  <c r="N41" i="11" s="1"/>
  <c r="M26" i="11"/>
  <c r="N183" i="11"/>
  <c r="M134" i="11"/>
  <c r="P134" i="11" s="1"/>
  <c r="N90" i="11"/>
  <c r="M68" i="11"/>
  <c r="P68" i="11" s="1"/>
  <c r="N44" i="11"/>
  <c r="P44" i="11" s="1"/>
  <c r="M43" i="11"/>
  <c r="M41" i="11" s="1"/>
  <c r="M29" i="11"/>
  <c r="P168" i="10"/>
  <c r="M55" i="10"/>
  <c r="M53" i="10" s="1"/>
  <c r="K674" i="10"/>
  <c r="I434" i="10"/>
  <c r="I418" i="10" s="1"/>
  <c r="K418" i="10" s="1"/>
  <c r="K385" i="10"/>
  <c r="N317" i="10"/>
  <c r="N315" i="10" s="1"/>
  <c r="L229" i="10"/>
  <c r="I112" i="10"/>
  <c r="K112" i="10" s="1"/>
  <c r="L533" i="10"/>
  <c r="O533" i="10" s="1"/>
  <c r="P303" i="10"/>
  <c r="K287" i="10"/>
  <c r="K271" i="10"/>
  <c r="K176" i="10"/>
  <c r="K146" i="9"/>
  <c r="L330" i="10"/>
  <c r="L328" i="10" s="1"/>
  <c r="L230" i="10"/>
  <c r="K224" i="10"/>
  <c r="P137" i="10"/>
  <c r="K672" i="10"/>
  <c r="L446" i="10"/>
  <c r="L444" i="10" s="1"/>
  <c r="O444" i="10" s="1"/>
  <c r="N404" i="10"/>
  <c r="N402" i="10" s="1"/>
  <c r="K370" i="10"/>
  <c r="K340" i="10"/>
  <c r="O306" i="10"/>
  <c r="L198" i="10"/>
  <c r="O198" i="10" s="1"/>
  <c r="M183" i="10"/>
  <c r="M181" i="10" s="1"/>
  <c r="P170" i="10"/>
  <c r="I76" i="10"/>
  <c r="I64" i="10" s="1"/>
  <c r="K64" i="10" s="1"/>
  <c r="P74" i="10"/>
  <c r="O58" i="10"/>
  <c r="P49" i="10"/>
  <c r="K460" i="10"/>
  <c r="K435" i="10"/>
  <c r="O397" i="10"/>
  <c r="K325" i="10"/>
  <c r="M318" i="10"/>
  <c r="P318" i="10" s="1"/>
  <c r="M304" i="10"/>
  <c r="P304" i="10" s="1"/>
  <c r="K215" i="10"/>
  <c r="N151" i="10"/>
  <c r="N149" i="10" s="1"/>
  <c r="O49" i="10"/>
  <c r="K675" i="10"/>
  <c r="O660" i="10"/>
  <c r="P394" i="10"/>
  <c r="N391" i="10"/>
  <c r="N389" i="10" s="1"/>
  <c r="O353" i="10"/>
  <c r="L134" i="10"/>
  <c r="O134" i="10" s="1"/>
  <c r="M90" i="9"/>
  <c r="M88" i="9" s="1"/>
  <c r="M391" i="10"/>
  <c r="P391" i="10" s="1"/>
  <c r="O264" i="10"/>
  <c r="I248" i="10"/>
  <c r="K248" i="10" s="1"/>
  <c r="L631" i="10"/>
  <c r="L629" i="10" s="1"/>
  <c r="O629" i="10" s="1"/>
  <c r="O549" i="10"/>
  <c r="K378" i="10"/>
  <c r="J327" i="10"/>
  <c r="K327" i="10" s="1"/>
  <c r="P331" i="10"/>
  <c r="N279" i="10"/>
  <c r="N277" i="10" s="1"/>
  <c r="M43" i="10"/>
  <c r="M41" i="10" s="1"/>
  <c r="K673" i="10"/>
  <c r="P269" i="10"/>
  <c r="P140" i="10"/>
  <c r="M121" i="10"/>
  <c r="P121" i="10" s="1"/>
  <c r="I87" i="10"/>
  <c r="K87" i="10" s="1"/>
  <c r="L43" i="10"/>
  <c r="L41" i="10" s="1"/>
  <c r="K823" i="9"/>
  <c r="K338" i="9"/>
  <c r="K271" i="9"/>
  <c r="K821" i="10"/>
  <c r="K651" i="10"/>
  <c r="L469" i="10"/>
  <c r="O469" i="10" s="1"/>
  <c r="P407" i="10"/>
  <c r="K355" i="10"/>
  <c r="N347" i="10"/>
  <c r="N345" i="10" s="1"/>
  <c r="L217" i="10"/>
  <c r="O217" i="10" s="1"/>
  <c r="I190" i="10"/>
  <c r="K190" i="10" s="1"/>
  <c r="M167" i="10"/>
  <c r="M165" i="10" s="1"/>
  <c r="P96" i="10"/>
  <c r="O74" i="10"/>
  <c r="K669" i="10"/>
  <c r="K593" i="10"/>
  <c r="O472" i="10"/>
  <c r="L447" i="10"/>
  <c r="O447" i="10" s="1"/>
  <c r="O394" i="10"/>
  <c r="K381" i="10"/>
  <c r="P351" i="10"/>
  <c r="P348" i="10"/>
  <c r="K338" i="10"/>
  <c r="O303" i="10"/>
  <c r="P282" i="10"/>
  <c r="N280" i="10"/>
  <c r="P189" i="10"/>
  <c r="L167" i="10"/>
  <c r="L165" i="10" s="1"/>
  <c r="O137" i="10"/>
  <c r="L135" i="10"/>
  <c r="O135" i="10" s="1"/>
  <c r="P93" i="10"/>
  <c r="P71" i="10"/>
  <c r="L789" i="10"/>
  <c r="O789" i="10" s="1"/>
  <c r="J721" i="10"/>
  <c r="L632" i="10"/>
  <c r="O632" i="10" s="1"/>
  <c r="J433" i="10"/>
  <c r="J417" i="10" s="1"/>
  <c r="K417" i="10" s="1"/>
  <c r="O351" i="10"/>
  <c r="O348" i="10"/>
  <c r="P186" i="10"/>
  <c r="M184" i="10"/>
  <c r="P184" i="10" s="1"/>
  <c r="P173" i="10"/>
  <c r="O71" i="10"/>
  <c r="N55" i="10"/>
  <c r="N53" i="10" s="1"/>
  <c r="P46" i="10"/>
  <c r="M321" i="7"/>
  <c r="P321" i="7" s="1"/>
  <c r="K560" i="9"/>
  <c r="L470" i="9"/>
  <c r="O470" i="9" s="1"/>
  <c r="K460" i="9"/>
  <c r="K340" i="9"/>
  <c r="K827" i="10"/>
  <c r="I785" i="10"/>
  <c r="K785" i="10" s="1"/>
  <c r="K576" i="10"/>
  <c r="J537" i="10"/>
  <c r="J522" i="10" s="1"/>
  <c r="M472" i="10"/>
  <c r="M449" i="10"/>
  <c r="M446" i="10" s="1"/>
  <c r="M444" i="10" s="1"/>
  <c r="I443" i="10"/>
  <c r="K443" i="10" s="1"/>
  <c r="P397" i="10"/>
  <c r="P336" i="10"/>
  <c r="N321" i="10"/>
  <c r="M300" i="10"/>
  <c r="P300" i="10" s="1"/>
  <c r="L300" i="10"/>
  <c r="L298" i="10" s="1"/>
  <c r="O298" i="10" s="1"/>
  <c r="I297" i="10"/>
  <c r="K297" i="10" s="1"/>
  <c r="L231" i="10"/>
  <c r="K204" i="10"/>
  <c r="L171" i="10"/>
  <c r="O171" i="10" s="1"/>
  <c r="M90" i="10"/>
  <c r="M88" i="10" s="1"/>
  <c r="K80" i="10"/>
  <c r="M44" i="10"/>
  <c r="K385" i="8"/>
  <c r="K378" i="8"/>
  <c r="K360" i="10"/>
  <c r="N263" i="10"/>
  <c r="N261" i="10" s="1"/>
  <c r="K159" i="10"/>
  <c r="O140" i="10"/>
  <c r="L68" i="10"/>
  <c r="O68" i="10" s="1"/>
  <c r="K827" i="9"/>
  <c r="K385" i="9"/>
  <c r="K378" i="9"/>
  <c r="M152" i="9"/>
  <c r="P152" i="9" s="1"/>
  <c r="P154" i="9"/>
  <c r="N685" i="10"/>
  <c r="K675" i="9"/>
  <c r="K568" i="9"/>
  <c r="L422" i="9"/>
  <c r="O422" i="9" s="1"/>
  <c r="N808" i="10"/>
  <c r="N805" i="10"/>
  <c r="N789" i="10"/>
  <c r="N786" i="10"/>
  <c r="P771" i="10"/>
  <c r="M770" i="10"/>
  <c r="P770" i="10" s="1"/>
  <c r="M546" i="10"/>
  <c r="P549" i="10"/>
  <c r="M547" i="10"/>
  <c r="P547" i="10" s="1"/>
  <c r="L754" i="10"/>
  <c r="O754" i="10" s="1"/>
  <c r="N740" i="10"/>
  <c r="L318" i="9"/>
  <c r="O318" i="9" s="1"/>
  <c r="O320" i="9"/>
  <c r="O806" i="10"/>
  <c r="L805" i="10"/>
  <c r="O805" i="10" s="1"/>
  <c r="O787" i="10"/>
  <c r="P807" i="10"/>
  <c r="M805" i="10"/>
  <c r="P805" i="10" s="1"/>
  <c r="P788" i="10"/>
  <c r="M786" i="10"/>
  <c r="P786" i="10" s="1"/>
  <c r="L737" i="10"/>
  <c r="O737" i="10" s="1"/>
  <c r="O738" i="10"/>
  <c r="M94" i="9"/>
  <c r="P94" i="9" s="1"/>
  <c r="P96" i="9"/>
  <c r="L788" i="10"/>
  <c r="O788" i="10" s="1"/>
  <c r="P755" i="10"/>
  <c r="M754" i="10"/>
  <c r="P754" i="10" s="1"/>
  <c r="J722" i="10"/>
  <c r="M685" i="10"/>
  <c r="P685" i="10" s="1"/>
  <c r="L657" i="10"/>
  <c r="O634" i="10"/>
  <c r="L546" i="10"/>
  <c r="K537" i="10"/>
  <c r="N525" i="10"/>
  <c r="N523" i="10" s="1"/>
  <c r="O504" i="10"/>
  <c r="N444" i="10"/>
  <c r="L33" i="10"/>
  <c r="L422" i="10"/>
  <c r="O420" i="10"/>
  <c r="L404" i="10"/>
  <c r="O390" i="10"/>
  <c r="J364" i="10"/>
  <c r="P350" i="10"/>
  <c r="P323" i="10"/>
  <c r="O320" i="10"/>
  <c r="O285" i="10"/>
  <c r="L279" i="10"/>
  <c r="O279" i="10" s="1"/>
  <c r="O269" i="10"/>
  <c r="J143" i="10"/>
  <c r="J131" i="10" s="1"/>
  <c r="P120" i="10"/>
  <c r="L94" i="10"/>
  <c r="O94" i="10" s="1"/>
  <c r="M737" i="10"/>
  <c r="P737" i="10" s="1"/>
  <c r="N687" i="10"/>
  <c r="L685" i="10"/>
  <c r="O685" i="10" s="1"/>
  <c r="K559" i="10"/>
  <c r="L555" i="10"/>
  <c r="O555" i="10" s="1"/>
  <c r="L547" i="10"/>
  <c r="O547" i="10" s="1"/>
  <c r="N504" i="10"/>
  <c r="N502" i="10" s="1"/>
  <c r="O479" i="10"/>
  <c r="L454" i="10"/>
  <c r="O454" i="10" s="1"/>
  <c r="P410" i="10"/>
  <c r="K374" i="10"/>
  <c r="P353" i="10"/>
  <c r="O350" i="10"/>
  <c r="M347" i="10"/>
  <c r="L334" i="10"/>
  <c r="O334" i="10" s="1"/>
  <c r="N330" i="10"/>
  <c r="N328" i="10" s="1"/>
  <c r="O323" i="10"/>
  <c r="M317" i="10"/>
  <c r="L209" i="10"/>
  <c r="O209" i="10" s="1"/>
  <c r="L187" i="10"/>
  <c r="O187" i="10" s="1"/>
  <c r="P91" i="10"/>
  <c r="O641" i="10"/>
  <c r="O528" i="10"/>
  <c r="L525" i="10"/>
  <c r="L477" i="10"/>
  <c r="O477" i="10" s="1"/>
  <c r="O449" i="10"/>
  <c r="N446" i="10"/>
  <c r="N408" i="10"/>
  <c r="L405" i="10"/>
  <c r="O405" i="10" s="1"/>
  <c r="L347" i="10"/>
  <c r="P333" i="10"/>
  <c r="M330" i="10"/>
  <c r="M328" i="10" s="1"/>
  <c r="L317" i="10"/>
  <c r="I275" i="10"/>
  <c r="K275" i="10" s="1"/>
  <c r="J288" i="10"/>
  <c r="J275" i="10" s="1"/>
  <c r="M283" i="10"/>
  <c r="P283" i="10" s="1"/>
  <c r="L280" i="10"/>
  <c r="O280" i="10" s="1"/>
  <c r="I237" i="10"/>
  <c r="K244" i="10"/>
  <c r="I233" i="10"/>
  <c r="K233" i="10" s="1"/>
  <c r="P157" i="10"/>
  <c r="M155" i="10"/>
  <c r="P155" i="10" s="1"/>
  <c r="P154" i="10"/>
  <c r="M152" i="10"/>
  <c r="P152" i="10" s="1"/>
  <c r="M151" i="10"/>
  <c r="P151" i="10" s="1"/>
  <c r="L36" i="10"/>
  <c r="O36" i="10" s="1"/>
  <c r="M408" i="10"/>
  <c r="P408" i="10" s="1"/>
  <c r="N300" i="10"/>
  <c r="N298" i="10" s="1"/>
  <c r="O184" i="10"/>
  <c r="P127" i="10"/>
  <c r="M125" i="10"/>
  <c r="P125" i="10" s="1"/>
  <c r="N121" i="10"/>
  <c r="N119" i="10" s="1"/>
  <c r="N122" i="10"/>
  <c r="P61" i="10"/>
  <c r="M59" i="10"/>
  <c r="P59" i="10" s="1"/>
  <c r="N546" i="10"/>
  <c r="N544" i="10" s="1"/>
  <c r="N33" i="10"/>
  <c r="N30" i="10" s="1"/>
  <c r="N28" i="10" s="1"/>
  <c r="L408" i="10"/>
  <c r="O408" i="10" s="1"/>
  <c r="L238" i="10"/>
  <c r="K174" i="10"/>
  <c r="I164" i="10"/>
  <c r="K164" i="10" s="1"/>
  <c r="O170" i="10"/>
  <c r="L168" i="10"/>
  <c r="O168" i="10" s="1"/>
  <c r="I143" i="10"/>
  <c r="K145" i="10"/>
  <c r="M23" i="10"/>
  <c r="M21" i="10" s="1"/>
  <c r="K98" i="10"/>
  <c r="I86" i="10"/>
  <c r="K86" i="10" s="1"/>
  <c r="O93" i="10"/>
  <c r="L90" i="10"/>
  <c r="L23" i="10"/>
  <c r="L21" i="10" s="1"/>
  <c r="K81" i="10"/>
  <c r="I77" i="10"/>
  <c r="O15" i="10"/>
  <c r="K442" i="10"/>
  <c r="M424" i="10"/>
  <c r="N422" i="10"/>
  <c r="L421" i="10"/>
  <c r="O421" i="10" s="1"/>
  <c r="L391" i="10"/>
  <c r="O391" i="10" s="1"/>
  <c r="K362" i="10"/>
  <c r="O333" i="10"/>
  <c r="L331" i="10"/>
  <c r="O331" i="10" s="1"/>
  <c r="P285" i="10"/>
  <c r="O266" i="10"/>
  <c r="O186" i="10"/>
  <c r="L183" i="10"/>
  <c r="L181" i="10" s="1"/>
  <c r="M264" i="10"/>
  <c r="P264" i="10" s="1"/>
  <c r="M263" i="10"/>
  <c r="L249" i="10"/>
  <c r="O249" i="10" s="1"/>
  <c r="L228" i="10"/>
  <c r="P150" i="10"/>
  <c r="K100" i="10"/>
  <c r="N19" i="10"/>
  <c r="P54" i="10"/>
  <c r="M26" i="10"/>
  <c r="L12" i="10"/>
  <c r="L19" i="10"/>
  <c r="O22" i="10"/>
  <c r="N26" i="10"/>
  <c r="N16" i="10" s="1"/>
  <c r="N14" i="10" s="1"/>
  <c r="N59" i="10"/>
  <c r="L26" i="10"/>
  <c r="N56" i="10"/>
  <c r="O35" i="10"/>
  <c r="P124" i="10"/>
  <c r="M122" i="10"/>
  <c r="P122" i="10" s="1"/>
  <c r="P58" i="10"/>
  <c r="M56" i="10"/>
  <c r="N23" i="10"/>
  <c r="P29" i="10"/>
  <c r="L29" i="10"/>
  <c r="P15" i="10"/>
  <c r="N12" i="10"/>
  <c r="L151" i="10"/>
  <c r="L121" i="10"/>
  <c r="L55" i="10"/>
  <c r="M19" i="10"/>
  <c r="M12" i="10"/>
  <c r="L155" i="10"/>
  <c r="O155" i="10" s="1"/>
  <c r="L152" i="10"/>
  <c r="O152" i="10" s="1"/>
  <c r="N134" i="10"/>
  <c r="N132" i="10" s="1"/>
  <c r="I130" i="10"/>
  <c r="K130" i="10" s="1"/>
  <c r="L125" i="10"/>
  <c r="O125" i="10" s="1"/>
  <c r="L122" i="10"/>
  <c r="O122" i="10" s="1"/>
  <c r="K115" i="10"/>
  <c r="N68" i="10"/>
  <c r="N66" i="10" s="1"/>
  <c r="L59" i="10"/>
  <c r="O59" i="10" s="1"/>
  <c r="L56" i="10"/>
  <c r="N43" i="10"/>
  <c r="N41" i="10" s="1"/>
  <c r="L263" i="10"/>
  <c r="N183" i="10"/>
  <c r="N181" i="10" s="1"/>
  <c r="N167" i="10"/>
  <c r="N165" i="10" s="1"/>
  <c r="M134" i="10"/>
  <c r="N90" i="10"/>
  <c r="N88" i="10" s="1"/>
  <c r="M68" i="10"/>
  <c r="N44" i="10"/>
  <c r="P32" i="10"/>
  <c r="P25" i="10"/>
  <c r="J721" i="9"/>
  <c r="L404" i="9"/>
  <c r="O404" i="9" s="1"/>
  <c r="K224" i="8"/>
  <c r="N151" i="9"/>
  <c r="N149" i="9" s="1"/>
  <c r="O660" i="9"/>
  <c r="M424" i="9"/>
  <c r="M421" i="9" s="1"/>
  <c r="P421" i="9" s="1"/>
  <c r="O410" i="9"/>
  <c r="L408" i="9"/>
  <c r="O408" i="9" s="1"/>
  <c r="K379" i="9"/>
  <c r="L183" i="9"/>
  <c r="L181" i="9" s="1"/>
  <c r="K822" i="9"/>
  <c r="M660" i="9"/>
  <c r="P660" i="9" s="1"/>
  <c r="O407" i="9"/>
  <c r="K374" i="9"/>
  <c r="K365" i="9"/>
  <c r="J327" i="9"/>
  <c r="K327" i="9" s="1"/>
  <c r="M330" i="9"/>
  <c r="M328" i="9" s="1"/>
  <c r="K224" i="9"/>
  <c r="P127" i="9"/>
  <c r="I785" i="9"/>
  <c r="K785" i="9" s="1"/>
  <c r="O535" i="9"/>
  <c r="N347" i="9"/>
  <c r="N345" i="9" s="1"/>
  <c r="L229" i="9"/>
  <c r="L217" i="9"/>
  <c r="O217" i="9" s="1"/>
  <c r="L68" i="9"/>
  <c r="L66" i="9" s="1"/>
  <c r="O394" i="9"/>
  <c r="K369" i="9"/>
  <c r="K355" i="9"/>
  <c r="P353" i="9"/>
  <c r="O350" i="9"/>
  <c r="P269" i="9"/>
  <c r="O135" i="9"/>
  <c r="O49" i="9"/>
  <c r="O157" i="8"/>
  <c r="K621" i="9"/>
  <c r="M404" i="9"/>
  <c r="P404" i="9" s="1"/>
  <c r="L279" i="9"/>
  <c r="O279" i="9" s="1"/>
  <c r="K99" i="9"/>
  <c r="P61" i="9"/>
  <c r="J722" i="9"/>
  <c r="L334" i="9"/>
  <c r="O334" i="9" s="1"/>
  <c r="O323" i="9"/>
  <c r="M263" i="9"/>
  <c r="M261" i="9" s="1"/>
  <c r="K144" i="9"/>
  <c r="O74" i="9"/>
  <c r="L69" i="9"/>
  <c r="O69" i="9" s="1"/>
  <c r="K821" i="9"/>
  <c r="P186" i="9"/>
  <c r="P449" i="9"/>
  <c r="M447" i="9"/>
  <c r="P447" i="9" s="1"/>
  <c r="K543" i="9"/>
  <c r="J559" i="9"/>
  <c r="J543" i="9" s="1"/>
  <c r="K576" i="9"/>
  <c r="M391" i="9"/>
  <c r="P391" i="9" s="1"/>
  <c r="N300" i="9"/>
  <c r="N298" i="9" s="1"/>
  <c r="L55" i="9"/>
  <c r="L53" i="9" s="1"/>
  <c r="K701" i="8"/>
  <c r="K460" i="8"/>
  <c r="K828" i="9"/>
  <c r="O807" i="9"/>
  <c r="P788" i="9"/>
  <c r="N754" i="9"/>
  <c r="P756" i="9"/>
  <c r="N740" i="9"/>
  <c r="K620" i="9"/>
  <c r="I522" i="9"/>
  <c r="K522" i="9" s="1"/>
  <c r="L469" i="9"/>
  <c r="O469" i="9" s="1"/>
  <c r="K466" i="9"/>
  <c r="K462" i="9"/>
  <c r="O456" i="9"/>
  <c r="K435" i="9"/>
  <c r="O431" i="9"/>
  <c r="O397" i="9"/>
  <c r="L391" i="9"/>
  <c r="O391" i="9" s="1"/>
  <c r="K370" i="9"/>
  <c r="I364" i="9"/>
  <c r="L330" i="9"/>
  <c r="L328" i="9" s="1"/>
  <c r="P323" i="9"/>
  <c r="L317" i="9"/>
  <c r="O317" i="9" s="1"/>
  <c r="M300" i="9"/>
  <c r="I297" i="9"/>
  <c r="K297" i="9" s="1"/>
  <c r="P285" i="9"/>
  <c r="L267" i="9"/>
  <c r="O267" i="9" s="1"/>
  <c r="M264" i="9"/>
  <c r="K255" i="9"/>
  <c r="K215" i="9"/>
  <c r="L209" i="9"/>
  <c r="O209" i="9" s="1"/>
  <c r="K193" i="9"/>
  <c r="O154" i="9"/>
  <c r="P124" i="9"/>
  <c r="K100" i="9"/>
  <c r="O71" i="9"/>
  <c r="M55" i="9"/>
  <c r="M53" i="9" s="1"/>
  <c r="L754" i="9"/>
  <c r="O754" i="9" s="1"/>
  <c r="N657" i="9"/>
  <c r="N655" i="9" s="1"/>
  <c r="K651" i="9"/>
  <c r="J594" i="9"/>
  <c r="K594" i="9" s="1"/>
  <c r="O557" i="9"/>
  <c r="P524" i="9"/>
  <c r="N419" i="9"/>
  <c r="J364" i="9"/>
  <c r="M279" i="9"/>
  <c r="L263" i="9"/>
  <c r="L261" i="9" s="1"/>
  <c r="N227" i="9"/>
  <c r="K204" i="9"/>
  <c r="K176" i="9"/>
  <c r="K159" i="9"/>
  <c r="M29" i="9"/>
  <c r="P29" i="9" s="1"/>
  <c r="K362" i="8"/>
  <c r="K359" i="8"/>
  <c r="O771" i="9"/>
  <c r="O641" i="9"/>
  <c r="O479" i="9"/>
  <c r="P394" i="9"/>
  <c r="L231" i="9"/>
  <c r="M167" i="9"/>
  <c r="M165" i="9" s="1"/>
  <c r="M151" i="9"/>
  <c r="P151" i="9" s="1"/>
  <c r="M121" i="9"/>
  <c r="P121" i="9" s="1"/>
  <c r="N121" i="9"/>
  <c r="N119" i="9" s="1"/>
  <c r="O96" i="9"/>
  <c r="L43" i="9"/>
  <c r="L41" i="9" s="1"/>
  <c r="J669" i="9"/>
  <c r="J654" i="9" s="1"/>
  <c r="N629" i="9"/>
  <c r="O549" i="9"/>
  <c r="P472" i="9"/>
  <c r="J433" i="9"/>
  <c r="J417" i="9" s="1"/>
  <c r="K417" i="9" s="1"/>
  <c r="K260" i="9"/>
  <c r="K216" i="9"/>
  <c r="P157" i="9"/>
  <c r="M91" i="9"/>
  <c r="K381" i="7"/>
  <c r="N151" i="8"/>
  <c r="N149" i="8" s="1"/>
  <c r="K824" i="9"/>
  <c r="N770" i="9"/>
  <c r="P772" i="9"/>
  <c r="O755" i="9"/>
  <c r="M737" i="9"/>
  <c r="P737" i="9" s="1"/>
  <c r="L737" i="9"/>
  <c r="O737" i="9" s="1"/>
  <c r="K577" i="9"/>
  <c r="M549" i="9"/>
  <c r="L502" i="9"/>
  <c r="O502" i="9" s="1"/>
  <c r="N391" i="9"/>
  <c r="N389" i="9" s="1"/>
  <c r="K381" i="9"/>
  <c r="K362" i="9"/>
  <c r="O353" i="9"/>
  <c r="O306" i="9"/>
  <c r="N301" i="9"/>
  <c r="P301" i="9" s="1"/>
  <c r="K287" i="9"/>
  <c r="N134" i="9"/>
  <c r="N132" i="9" s="1"/>
  <c r="M134" i="9"/>
  <c r="M132" i="9" s="1"/>
  <c r="K87" i="9"/>
  <c r="J86" i="9"/>
  <c r="K86" i="9" s="1"/>
  <c r="P58" i="9"/>
  <c r="N34" i="9"/>
  <c r="I164" i="8"/>
  <c r="K164" i="8" s="1"/>
  <c r="K174" i="8"/>
  <c r="P545" i="9"/>
  <c r="P336" i="8"/>
  <c r="M334" i="8"/>
  <c r="P334" i="8" s="1"/>
  <c r="K672" i="9"/>
  <c r="K669" i="9"/>
  <c r="K673" i="9"/>
  <c r="I654" i="9"/>
  <c r="K654" i="9" s="1"/>
  <c r="K674" i="9"/>
  <c r="J537" i="9"/>
  <c r="J522" i="9" s="1"/>
  <c r="L525" i="9"/>
  <c r="M446" i="9"/>
  <c r="M351" i="9"/>
  <c r="O316" i="9"/>
  <c r="O303" i="9"/>
  <c r="L301" i="9"/>
  <c r="L300" i="9"/>
  <c r="O282" i="9"/>
  <c r="L280" i="9"/>
  <c r="O280" i="9" s="1"/>
  <c r="I237" i="9"/>
  <c r="K244" i="9"/>
  <c r="I233" i="9"/>
  <c r="K233" i="9" s="1"/>
  <c r="L168" i="9"/>
  <c r="O170" i="9"/>
  <c r="L167" i="9"/>
  <c r="N138" i="9"/>
  <c r="P89" i="9"/>
  <c r="N330" i="9"/>
  <c r="N331" i="9"/>
  <c r="O331" i="9" s="1"/>
  <c r="P316" i="9"/>
  <c r="K673" i="8"/>
  <c r="P74" i="8"/>
  <c r="M72" i="8"/>
  <c r="P72" i="8" s="1"/>
  <c r="L68" i="8"/>
  <c r="O68" i="8" s="1"/>
  <c r="L688" i="9"/>
  <c r="O688" i="9" s="1"/>
  <c r="L687" i="9"/>
  <c r="O690" i="9"/>
  <c r="O449" i="9"/>
  <c r="L447" i="9"/>
  <c r="O447" i="9" s="1"/>
  <c r="L446" i="9"/>
  <c r="O446" i="9" s="1"/>
  <c r="L351" i="9"/>
  <c r="P189" i="9"/>
  <c r="M183" i="9"/>
  <c r="M181" i="9" s="1"/>
  <c r="P150" i="9"/>
  <c r="L121" i="9"/>
  <c r="L122" i="9"/>
  <c r="O122" i="9" s="1"/>
  <c r="O124" i="9"/>
  <c r="K592" i="9"/>
  <c r="P407" i="9"/>
  <c r="M405" i="9"/>
  <c r="P405" i="9" s="1"/>
  <c r="M72" i="9"/>
  <c r="P72" i="9" s="1"/>
  <c r="P74" i="9"/>
  <c r="M68" i="9"/>
  <c r="O140" i="8"/>
  <c r="L138" i="8"/>
  <c r="O138" i="8" s="1"/>
  <c r="P656" i="9"/>
  <c r="N547" i="9"/>
  <c r="O547" i="9" s="1"/>
  <c r="N444" i="9"/>
  <c r="I434" i="9"/>
  <c r="K438" i="9"/>
  <c r="M402" i="9"/>
  <c r="P402" i="9" s="1"/>
  <c r="M318" i="9"/>
  <c r="P318" i="9" s="1"/>
  <c r="M317" i="9"/>
  <c r="P317" i="9" s="1"/>
  <c r="P320" i="9"/>
  <c r="O157" i="9"/>
  <c r="L151" i="9"/>
  <c r="L155" i="9"/>
  <c r="O155" i="9" s="1"/>
  <c r="N264" i="9"/>
  <c r="P266" i="9"/>
  <c r="O266" i="9"/>
  <c r="N263" i="9"/>
  <c r="K593" i="9"/>
  <c r="N546" i="9"/>
  <c r="N544" i="9" s="1"/>
  <c r="L526" i="9"/>
  <c r="O526" i="9" s="1"/>
  <c r="P420" i="9"/>
  <c r="L347" i="9"/>
  <c r="I164" i="9"/>
  <c r="K174" i="9"/>
  <c r="L183" i="8"/>
  <c r="L181" i="8" s="1"/>
  <c r="K145" i="8"/>
  <c r="I143" i="8"/>
  <c r="K143" i="8" s="1"/>
  <c r="N658" i="9"/>
  <c r="O658" i="9" s="1"/>
  <c r="O445" i="9"/>
  <c r="N404" i="9"/>
  <c r="N402" i="9" s="1"/>
  <c r="N405" i="9"/>
  <c r="O333" i="9"/>
  <c r="N807" i="9"/>
  <c r="N805" i="9" s="1"/>
  <c r="O791" i="9"/>
  <c r="N687" i="9"/>
  <c r="N685" i="9" s="1"/>
  <c r="L657" i="9"/>
  <c r="O657" i="9" s="1"/>
  <c r="O634" i="9"/>
  <c r="L546" i="9"/>
  <c r="O546" i="9" s="1"/>
  <c r="N504" i="9"/>
  <c r="N502" i="9" s="1"/>
  <c r="O472" i="9"/>
  <c r="P403" i="9"/>
  <c r="N392" i="9"/>
  <c r="P348" i="9"/>
  <c r="P333" i="9"/>
  <c r="P329" i="9"/>
  <c r="M304" i="9"/>
  <c r="P304" i="9" s="1"/>
  <c r="L230" i="9"/>
  <c r="L238" i="9"/>
  <c r="L187" i="9"/>
  <c r="O187" i="9" s="1"/>
  <c r="O189" i="9"/>
  <c r="P140" i="9"/>
  <c r="M138" i="9"/>
  <c r="P135" i="9"/>
  <c r="N59" i="9"/>
  <c r="N55" i="9"/>
  <c r="K559" i="9"/>
  <c r="N33" i="9"/>
  <c r="M408" i="9"/>
  <c r="P408" i="9" s="1"/>
  <c r="K372" i="9"/>
  <c r="K360" i="9"/>
  <c r="M347" i="9"/>
  <c r="M345" i="9" s="1"/>
  <c r="P350" i="9"/>
  <c r="L348" i="9"/>
  <c r="O348" i="9" s="1"/>
  <c r="M331" i="9"/>
  <c r="N317" i="9"/>
  <c r="N315" i="9" s="1"/>
  <c r="P303" i="9"/>
  <c r="P282" i="9"/>
  <c r="P166" i="9"/>
  <c r="L138" i="9"/>
  <c r="O140" i="9"/>
  <c r="L125" i="9"/>
  <c r="O125" i="9" s="1"/>
  <c r="I77" i="9"/>
  <c r="K360" i="8"/>
  <c r="L788" i="9"/>
  <c r="L631" i="9"/>
  <c r="M469" i="9"/>
  <c r="M395" i="9"/>
  <c r="P395" i="9" s="1"/>
  <c r="P397" i="9"/>
  <c r="P336" i="9"/>
  <c r="M334" i="9"/>
  <c r="P334" i="9" s="1"/>
  <c r="L228" i="9"/>
  <c r="L249" i="9"/>
  <c r="O249" i="9" s="1"/>
  <c r="M171" i="9"/>
  <c r="P171" i="9" s="1"/>
  <c r="P120" i="9"/>
  <c r="N91" i="9"/>
  <c r="P93" i="9"/>
  <c r="N90" i="9"/>
  <c r="O403" i="9"/>
  <c r="K359" i="9"/>
  <c r="N351" i="9"/>
  <c r="O329" i="9"/>
  <c r="K325" i="9"/>
  <c r="I314" i="9"/>
  <c r="K314" i="9" s="1"/>
  <c r="L198" i="9"/>
  <c r="O198" i="9" s="1"/>
  <c r="L171" i="9"/>
  <c r="O171" i="9" s="1"/>
  <c r="O173" i="9"/>
  <c r="L134" i="9"/>
  <c r="O137" i="9"/>
  <c r="L12" i="9"/>
  <c r="L19" i="9"/>
  <c r="O22" i="9"/>
  <c r="L91" i="9"/>
  <c r="L90" i="9"/>
  <c r="O93" i="9"/>
  <c r="O61" i="9"/>
  <c r="L26" i="9"/>
  <c r="L24" i="9" s="1"/>
  <c r="P15" i="9"/>
  <c r="L36" i="9"/>
  <c r="O36" i="9" s="1"/>
  <c r="L33" i="9"/>
  <c r="L31" i="9" s="1"/>
  <c r="L421" i="9"/>
  <c r="I275" i="9"/>
  <c r="K275" i="9" s="1"/>
  <c r="K288" i="9"/>
  <c r="L283" i="9"/>
  <c r="O283" i="9" s="1"/>
  <c r="N183" i="9"/>
  <c r="N181" i="9" s="1"/>
  <c r="N184" i="9"/>
  <c r="P184" i="9" s="1"/>
  <c r="P170" i="9"/>
  <c r="I76" i="9"/>
  <c r="N68" i="9"/>
  <c r="P56" i="9"/>
  <c r="O35" i="9"/>
  <c r="L29" i="9"/>
  <c r="L15" i="9"/>
  <c r="J164" i="9"/>
  <c r="N167" i="9"/>
  <c r="N165" i="9" s="1"/>
  <c r="N168" i="9"/>
  <c r="P168" i="9" s="1"/>
  <c r="M69" i="9"/>
  <c r="P69" i="9" s="1"/>
  <c r="P71" i="9"/>
  <c r="M23" i="9"/>
  <c r="N279" i="9"/>
  <c r="N277" i="9" s="1"/>
  <c r="N280" i="9"/>
  <c r="L184" i="9"/>
  <c r="O186" i="9"/>
  <c r="P137" i="9"/>
  <c r="O58" i="9"/>
  <c r="L56" i="9"/>
  <c r="O56" i="9" s="1"/>
  <c r="N23" i="9"/>
  <c r="N21" i="9" s="1"/>
  <c r="M34" i="9"/>
  <c r="P34" i="9" s="1"/>
  <c r="P36" i="9"/>
  <c r="I112" i="9"/>
  <c r="K112" i="9" s="1"/>
  <c r="N47" i="9"/>
  <c r="N26" i="9"/>
  <c r="P49" i="9"/>
  <c r="P46" i="9"/>
  <c r="L23" i="9"/>
  <c r="N19" i="9"/>
  <c r="N12" i="9"/>
  <c r="O46" i="9"/>
  <c r="M19" i="9"/>
  <c r="M12" i="9"/>
  <c r="N43" i="9"/>
  <c r="M26" i="9"/>
  <c r="N44" i="9"/>
  <c r="P44" i="9" s="1"/>
  <c r="M43" i="9"/>
  <c r="N29" i="9"/>
  <c r="P32" i="9"/>
  <c r="P25" i="9"/>
  <c r="K827" i="8"/>
  <c r="L404" i="8"/>
  <c r="O404" i="8" s="1"/>
  <c r="L347" i="8"/>
  <c r="L345" i="8" s="1"/>
  <c r="I260" i="8"/>
  <c r="K260" i="8" s="1"/>
  <c r="L72" i="8"/>
  <c r="O72" i="8" s="1"/>
  <c r="L300" i="8"/>
  <c r="L298" i="8" s="1"/>
  <c r="O298" i="8" s="1"/>
  <c r="O410" i="8"/>
  <c r="O407" i="8"/>
  <c r="K287" i="8"/>
  <c r="K537" i="8"/>
  <c r="O320" i="8"/>
  <c r="L167" i="8"/>
  <c r="L165" i="8" s="1"/>
  <c r="K675" i="7"/>
  <c r="K379" i="8"/>
  <c r="N330" i="8"/>
  <c r="N328" i="8" s="1"/>
  <c r="M317" i="8"/>
  <c r="P317" i="8" s="1"/>
  <c r="L229" i="8"/>
  <c r="M55" i="8"/>
  <c r="M53" i="8" s="1"/>
  <c r="K370" i="7"/>
  <c r="L231" i="7"/>
  <c r="K826" i="8"/>
  <c r="K823" i="8"/>
  <c r="O634" i="8"/>
  <c r="O472" i="8"/>
  <c r="M404" i="8"/>
  <c r="P404" i="8" s="1"/>
  <c r="O397" i="8"/>
  <c r="O306" i="8"/>
  <c r="P285" i="8"/>
  <c r="M280" i="8"/>
  <c r="P280" i="8" s="1"/>
  <c r="L249" i="8"/>
  <c r="O249" i="8" s="1"/>
  <c r="L69" i="8"/>
  <c r="O69" i="8" s="1"/>
  <c r="L55" i="8"/>
  <c r="L53" i="8" s="1"/>
  <c r="P91" i="8"/>
  <c r="K360" i="7"/>
  <c r="O557" i="8"/>
  <c r="N391" i="8"/>
  <c r="N389" i="8" s="1"/>
  <c r="K370" i="8"/>
  <c r="L330" i="8"/>
  <c r="O303" i="8"/>
  <c r="N279" i="8"/>
  <c r="N277" i="8" s="1"/>
  <c r="O269" i="8"/>
  <c r="I130" i="8"/>
  <c r="K130" i="8" s="1"/>
  <c r="K98" i="8"/>
  <c r="M68" i="8"/>
  <c r="P68" i="8" s="1"/>
  <c r="L454" i="8"/>
  <c r="O454" i="8" s="1"/>
  <c r="J364" i="8"/>
  <c r="M347" i="8"/>
  <c r="M345" i="8" s="1"/>
  <c r="L301" i="8"/>
  <c r="O301" i="8" s="1"/>
  <c r="N183" i="8"/>
  <c r="N181" i="8" s="1"/>
  <c r="N167" i="8"/>
  <c r="N165" i="8" s="1"/>
  <c r="P154" i="8"/>
  <c r="K146" i="7"/>
  <c r="L391" i="8"/>
  <c r="O391" i="8" s="1"/>
  <c r="M43" i="8"/>
  <c r="M41" i="8" s="1"/>
  <c r="J592" i="8"/>
  <c r="K592" i="8" s="1"/>
  <c r="K593" i="8"/>
  <c r="P549" i="8"/>
  <c r="M547" i="8"/>
  <c r="P547" i="8" s="1"/>
  <c r="N805" i="8"/>
  <c r="M737" i="8"/>
  <c r="P737" i="8" s="1"/>
  <c r="P630" i="8"/>
  <c r="P397" i="8"/>
  <c r="O394" i="8"/>
  <c r="O323" i="8"/>
  <c r="P306" i="8"/>
  <c r="L231" i="8"/>
  <c r="O154" i="8"/>
  <c r="M66" i="8"/>
  <c r="P66" i="8" s="1"/>
  <c r="P91" i="7"/>
  <c r="K821" i="8"/>
  <c r="K800" i="8"/>
  <c r="O791" i="8"/>
  <c r="L737" i="8"/>
  <c r="O737" i="8" s="1"/>
  <c r="K569" i="8"/>
  <c r="O503" i="8"/>
  <c r="N392" i="8"/>
  <c r="K372" i="8"/>
  <c r="N317" i="8"/>
  <c r="N315" i="8" s="1"/>
  <c r="M300" i="8"/>
  <c r="I275" i="8"/>
  <c r="K275" i="8" s="1"/>
  <c r="L263" i="8"/>
  <c r="L261" i="8" s="1"/>
  <c r="L230" i="8"/>
  <c r="J164" i="8"/>
  <c r="P168" i="8"/>
  <c r="P127" i="8"/>
  <c r="I77" i="8"/>
  <c r="K77" i="8" s="1"/>
  <c r="L43" i="8"/>
  <c r="L41" i="8" s="1"/>
  <c r="K362" i="7"/>
  <c r="L805" i="8"/>
  <c r="O805" i="8" s="1"/>
  <c r="L789" i="8"/>
  <c r="O789" i="8" s="1"/>
  <c r="M770" i="8"/>
  <c r="P770" i="8" s="1"/>
  <c r="N547" i="8"/>
  <c r="L533" i="8"/>
  <c r="O533" i="8" s="1"/>
  <c r="I434" i="8"/>
  <c r="I418" i="8" s="1"/>
  <c r="K418" i="8" s="1"/>
  <c r="L405" i="8"/>
  <c r="O405" i="8" s="1"/>
  <c r="M391" i="8"/>
  <c r="M392" i="8"/>
  <c r="P392" i="8" s="1"/>
  <c r="K381" i="8"/>
  <c r="K374" i="8"/>
  <c r="L334" i="8"/>
  <c r="O334" i="8" s="1"/>
  <c r="N331" i="8"/>
  <c r="O331" i="8" s="1"/>
  <c r="I248" i="8"/>
  <c r="K248" i="8" s="1"/>
  <c r="I197" i="8"/>
  <c r="K197" i="8" s="1"/>
  <c r="N184" i="8"/>
  <c r="P157" i="8"/>
  <c r="M151" i="8"/>
  <c r="P151" i="8" s="1"/>
  <c r="J143" i="8"/>
  <c r="J131" i="8" s="1"/>
  <c r="P124" i="8"/>
  <c r="I112" i="8"/>
  <c r="K112" i="8" s="1"/>
  <c r="K100" i="8"/>
  <c r="N90" i="8"/>
  <c r="N88" i="8" s="1"/>
  <c r="N68" i="8"/>
  <c r="N66" i="8" s="1"/>
  <c r="M69" i="8"/>
  <c r="P69" i="8" s="1"/>
  <c r="L29" i="8"/>
  <c r="L392" i="8"/>
  <c r="O392" i="8" s="1"/>
  <c r="K825" i="8"/>
  <c r="N631" i="8"/>
  <c r="N629" i="8" s="1"/>
  <c r="N504" i="8"/>
  <c r="N502" i="8" s="1"/>
  <c r="K355" i="8"/>
  <c r="N347" i="8"/>
  <c r="N345" i="8" s="1"/>
  <c r="P350" i="8"/>
  <c r="P333" i="8"/>
  <c r="K325" i="8"/>
  <c r="P303" i="8"/>
  <c r="L217" i="8"/>
  <c r="O217" i="8" s="1"/>
  <c r="K215" i="8"/>
  <c r="L209" i="8"/>
  <c r="O209" i="8" s="1"/>
  <c r="K193" i="8"/>
  <c r="K176" i="8"/>
  <c r="L151" i="8"/>
  <c r="O151" i="8" s="1"/>
  <c r="M121" i="8"/>
  <c r="P121" i="8" s="1"/>
  <c r="P67" i="8"/>
  <c r="L56" i="8"/>
  <c r="M44" i="8"/>
  <c r="O25" i="8"/>
  <c r="N786" i="8"/>
  <c r="L754" i="8"/>
  <c r="O754" i="8" s="1"/>
  <c r="J722" i="8"/>
  <c r="L525" i="8"/>
  <c r="O525" i="8" s="1"/>
  <c r="M523" i="8"/>
  <c r="P523" i="8" s="1"/>
  <c r="O333" i="8"/>
  <c r="I297" i="8"/>
  <c r="K297" i="8" s="1"/>
  <c r="N280" i="8"/>
  <c r="L264" i="8"/>
  <c r="O264" i="8" s="1"/>
  <c r="N227" i="8"/>
  <c r="I76" i="8"/>
  <c r="I64" i="8" s="1"/>
  <c r="K64" i="8" s="1"/>
  <c r="L44" i="8"/>
  <c r="N688" i="8"/>
  <c r="N687" i="8"/>
  <c r="N685" i="8" s="1"/>
  <c r="O685" i="8" s="1"/>
  <c r="L228" i="7"/>
  <c r="P96" i="7"/>
  <c r="K828" i="8"/>
  <c r="O772" i="8"/>
  <c r="O756" i="8"/>
  <c r="O739" i="8"/>
  <c r="J721" i="8"/>
  <c r="L688" i="8"/>
  <c r="O688" i="8" s="1"/>
  <c r="M690" i="8"/>
  <c r="O690" i="8"/>
  <c r="K675" i="8"/>
  <c r="M546" i="8"/>
  <c r="P546" i="8" s="1"/>
  <c r="O470" i="8"/>
  <c r="K225" i="8"/>
  <c r="L184" i="8"/>
  <c r="O186" i="8"/>
  <c r="P54" i="8"/>
  <c r="P120" i="8"/>
  <c r="K828" i="7"/>
  <c r="K822" i="7"/>
  <c r="K700" i="7"/>
  <c r="L687" i="7"/>
  <c r="L685" i="7" s="1"/>
  <c r="L555" i="7"/>
  <c r="O555" i="7" s="1"/>
  <c r="P353" i="7"/>
  <c r="L317" i="7"/>
  <c r="O317" i="7" s="1"/>
  <c r="O285" i="7"/>
  <c r="M283" i="7"/>
  <c r="P283" i="7" s="1"/>
  <c r="O788" i="8"/>
  <c r="O656" i="8"/>
  <c r="L631" i="8"/>
  <c r="K576" i="8"/>
  <c r="I559" i="8"/>
  <c r="O549" i="8"/>
  <c r="L547" i="8"/>
  <c r="O547" i="8" s="1"/>
  <c r="L546" i="8"/>
  <c r="O546" i="8" s="1"/>
  <c r="M502" i="8"/>
  <c r="P502" i="8" s="1"/>
  <c r="K369" i="8"/>
  <c r="J327" i="8"/>
  <c r="K327" i="8" s="1"/>
  <c r="L283" i="8"/>
  <c r="O283" i="8" s="1"/>
  <c r="L168" i="8"/>
  <c r="O168" i="8" s="1"/>
  <c r="O170" i="8"/>
  <c r="O61" i="8"/>
  <c r="P61" i="8"/>
  <c r="N59" i="8"/>
  <c r="K538" i="8"/>
  <c r="J537" i="8"/>
  <c r="J522" i="8" s="1"/>
  <c r="L658" i="7"/>
  <c r="O306" i="7"/>
  <c r="P807" i="8"/>
  <c r="O806" i="8"/>
  <c r="K672" i="8"/>
  <c r="K674" i="8"/>
  <c r="I654" i="8"/>
  <c r="K654" i="8" s="1"/>
  <c r="O660" i="8"/>
  <c r="L658" i="8"/>
  <c r="O658" i="8" s="1"/>
  <c r="O545" i="8"/>
  <c r="K462" i="8"/>
  <c r="I443" i="8"/>
  <c r="K443" i="8" s="1"/>
  <c r="L446" i="8"/>
  <c r="M449" i="8"/>
  <c r="O449" i="8"/>
  <c r="P140" i="8"/>
  <c r="M138" i="8"/>
  <c r="P138" i="8" s="1"/>
  <c r="M134" i="8"/>
  <c r="O127" i="8"/>
  <c r="L125" i="8"/>
  <c r="O125" i="8" s="1"/>
  <c r="L546" i="7"/>
  <c r="L544" i="7" s="1"/>
  <c r="O410" i="7"/>
  <c r="K338" i="7"/>
  <c r="M171" i="7"/>
  <c r="P171" i="7" s="1"/>
  <c r="P173" i="7"/>
  <c r="K822" i="8"/>
  <c r="M786" i="8"/>
  <c r="P786" i="8" s="1"/>
  <c r="M655" i="8"/>
  <c r="P655" i="8" s="1"/>
  <c r="K651" i="8"/>
  <c r="I628" i="8"/>
  <c r="K628" i="8" s="1"/>
  <c r="K621" i="8"/>
  <c r="K560" i="8"/>
  <c r="N544" i="8"/>
  <c r="P410" i="8"/>
  <c r="M408" i="8"/>
  <c r="P408" i="8" s="1"/>
  <c r="O403" i="8"/>
  <c r="K99" i="8"/>
  <c r="I87" i="8"/>
  <c r="K87" i="8" s="1"/>
  <c r="O96" i="8"/>
  <c r="L94" i="8"/>
  <c r="O94" i="8" s="1"/>
  <c r="L90" i="8"/>
  <c r="L88" i="8" s="1"/>
  <c r="L12" i="8"/>
  <c r="L19" i="8"/>
  <c r="O22" i="8"/>
  <c r="M183" i="8"/>
  <c r="P186" i="8"/>
  <c r="M184" i="8"/>
  <c r="I434" i="7"/>
  <c r="I418" i="7" s="1"/>
  <c r="K418" i="7" s="1"/>
  <c r="L300" i="7"/>
  <c r="O300" i="7" s="1"/>
  <c r="J288" i="7"/>
  <c r="J275" i="7" s="1"/>
  <c r="K824" i="8"/>
  <c r="N773" i="8"/>
  <c r="N772" i="8"/>
  <c r="N770" i="8" s="1"/>
  <c r="N757" i="8"/>
  <c r="N756" i="8"/>
  <c r="N754" i="8" s="1"/>
  <c r="N740" i="8"/>
  <c r="N739" i="8"/>
  <c r="N737" i="8" s="1"/>
  <c r="L657" i="8"/>
  <c r="O657" i="8" s="1"/>
  <c r="L639" i="8"/>
  <c r="O639" i="8" s="1"/>
  <c r="O641" i="8"/>
  <c r="K594" i="8"/>
  <c r="M545" i="8"/>
  <c r="P555" i="8"/>
  <c r="M402" i="8"/>
  <c r="P402" i="8" s="1"/>
  <c r="N351" i="8"/>
  <c r="I237" i="8"/>
  <c r="K244" i="8"/>
  <c r="I233" i="8"/>
  <c r="K233" i="8" s="1"/>
  <c r="N469" i="8"/>
  <c r="N467" i="8" s="1"/>
  <c r="J433" i="8"/>
  <c r="N404" i="8"/>
  <c r="N402" i="8" s="1"/>
  <c r="P353" i="8"/>
  <c r="M351" i="8"/>
  <c r="P323" i="8"/>
  <c r="M321" i="8"/>
  <c r="P321" i="8" s="1"/>
  <c r="M267" i="8"/>
  <c r="P267" i="8" s="1"/>
  <c r="P269" i="8"/>
  <c r="L238" i="8"/>
  <c r="L198" i="8"/>
  <c r="O198" i="8" s="1"/>
  <c r="N134" i="8"/>
  <c r="N132" i="8" s="1"/>
  <c r="N135" i="8"/>
  <c r="O58" i="8"/>
  <c r="P58" i="8"/>
  <c r="N56" i="8"/>
  <c r="N55" i="8"/>
  <c r="O528" i="8"/>
  <c r="N525" i="8"/>
  <c r="N523" i="8" s="1"/>
  <c r="O479" i="8"/>
  <c r="M472" i="8"/>
  <c r="K435" i="8"/>
  <c r="L33" i="8"/>
  <c r="L421" i="8"/>
  <c r="L419" i="8" s="1"/>
  <c r="M424" i="8"/>
  <c r="L422" i="8"/>
  <c r="O422" i="8" s="1"/>
  <c r="O353" i="8"/>
  <c r="L351" i="8"/>
  <c r="P346" i="8"/>
  <c r="M331" i="8"/>
  <c r="N263" i="8"/>
  <c r="M171" i="8"/>
  <c r="P171" i="8" s="1"/>
  <c r="I148" i="8"/>
  <c r="K148" i="8" s="1"/>
  <c r="M135" i="8"/>
  <c r="P135" i="8" s="1"/>
  <c r="L121" i="8"/>
  <c r="O124" i="8"/>
  <c r="M94" i="8"/>
  <c r="P94" i="8" s="1"/>
  <c r="P15" i="8"/>
  <c r="O15" i="8"/>
  <c r="L469" i="8"/>
  <c r="N446" i="8"/>
  <c r="N444" i="8" s="1"/>
  <c r="M348" i="8"/>
  <c r="P348" i="8" s="1"/>
  <c r="O329" i="8"/>
  <c r="L279" i="8"/>
  <c r="O282" i="8"/>
  <c r="M264" i="8"/>
  <c r="P264" i="8" s="1"/>
  <c r="M263" i="8"/>
  <c r="P266" i="8"/>
  <c r="M187" i="8"/>
  <c r="P187" i="8" s="1"/>
  <c r="L171" i="8"/>
  <c r="O171" i="8" s="1"/>
  <c r="O173" i="8"/>
  <c r="P150" i="8"/>
  <c r="O137" i="8"/>
  <c r="L135" i="8"/>
  <c r="O135" i="8" s="1"/>
  <c r="L26" i="8"/>
  <c r="N23" i="8"/>
  <c r="L36" i="8"/>
  <c r="O36" i="8" s="1"/>
  <c r="O431" i="8"/>
  <c r="L429" i="8"/>
  <c r="O429" i="8" s="1"/>
  <c r="P407" i="8"/>
  <c r="M405" i="8"/>
  <c r="P405" i="8" s="1"/>
  <c r="K365" i="8"/>
  <c r="I364" i="8"/>
  <c r="O350" i="8"/>
  <c r="L348" i="8"/>
  <c r="O348" i="8" s="1"/>
  <c r="K338" i="8"/>
  <c r="M330" i="8"/>
  <c r="P320" i="8"/>
  <c r="M318" i="8"/>
  <c r="P318" i="8" s="1"/>
  <c r="L187" i="8"/>
  <c r="O187" i="8" s="1"/>
  <c r="O189" i="8"/>
  <c r="M167" i="8"/>
  <c r="P170" i="8"/>
  <c r="L134" i="8"/>
  <c r="O134" i="8" s="1"/>
  <c r="M90" i="8"/>
  <c r="P93" i="8"/>
  <c r="M23" i="8"/>
  <c r="M21" i="8" s="1"/>
  <c r="O29" i="8"/>
  <c r="N33" i="8"/>
  <c r="N421" i="8"/>
  <c r="N419" i="8" s="1"/>
  <c r="L317" i="8"/>
  <c r="N300" i="8"/>
  <c r="N298" i="8" s="1"/>
  <c r="K288" i="8"/>
  <c r="N121" i="8"/>
  <c r="N119" i="8" s="1"/>
  <c r="O93" i="8"/>
  <c r="L91" i="8"/>
  <c r="O91" i="8" s="1"/>
  <c r="O266" i="8"/>
  <c r="L228" i="8"/>
  <c r="N26" i="8"/>
  <c r="M34" i="8"/>
  <c r="P34" i="8" s="1"/>
  <c r="P29" i="8"/>
  <c r="M279" i="8"/>
  <c r="M26" i="8"/>
  <c r="M24" i="8" s="1"/>
  <c r="O35" i="8"/>
  <c r="P89" i="8"/>
  <c r="P71" i="8"/>
  <c r="O67" i="8"/>
  <c r="P49" i="8"/>
  <c r="P46" i="8"/>
  <c r="O42" i="8"/>
  <c r="L23" i="8"/>
  <c r="N19" i="8"/>
  <c r="N12" i="8"/>
  <c r="O89" i="8"/>
  <c r="O71" i="8"/>
  <c r="O49" i="8"/>
  <c r="O46" i="8"/>
  <c r="P35" i="8"/>
  <c r="P22" i="8"/>
  <c r="M19" i="8"/>
  <c r="M12" i="8"/>
  <c r="K79" i="8"/>
  <c r="N43" i="8"/>
  <c r="N34" i="8"/>
  <c r="N44" i="8"/>
  <c r="N29" i="8"/>
  <c r="K723" i="7"/>
  <c r="K576" i="7"/>
  <c r="K379" i="7"/>
  <c r="L138" i="7"/>
  <c r="O138" i="7" s="1"/>
  <c r="L135" i="7"/>
  <c r="O135" i="7" s="1"/>
  <c r="O74" i="7"/>
  <c r="P137" i="6"/>
  <c r="K673" i="7"/>
  <c r="N391" i="7"/>
  <c r="N389" i="7" s="1"/>
  <c r="K224" i="7"/>
  <c r="J722" i="7"/>
  <c r="K722" i="7" s="1"/>
  <c r="M660" i="7"/>
  <c r="P660" i="7" s="1"/>
  <c r="J364" i="7"/>
  <c r="P189" i="7"/>
  <c r="P154" i="7"/>
  <c r="L230" i="5"/>
  <c r="K728" i="7"/>
  <c r="P410" i="7"/>
  <c r="K100" i="7"/>
  <c r="O791" i="7"/>
  <c r="L655" i="7"/>
  <c r="O655" i="7" s="1"/>
  <c r="L90" i="7"/>
  <c r="L88" i="7" s="1"/>
  <c r="K80" i="7"/>
  <c r="I76" i="7"/>
  <c r="I64" i="7" s="1"/>
  <c r="K64" i="7" s="1"/>
  <c r="P71" i="6"/>
  <c r="K800" i="7"/>
  <c r="O424" i="6"/>
  <c r="K827" i="7"/>
  <c r="K821" i="7"/>
  <c r="I628" i="7"/>
  <c r="K628" i="7" s="1"/>
  <c r="O549" i="7"/>
  <c r="L229" i="7"/>
  <c r="I148" i="7"/>
  <c r="K148" i="7" s="1"/>
  <c r="K159" i="7"/>
  <c r="L47" i="7"/>
  <c r="O47" i="7" s="1"/>
  <c r="O49" i="7"/>
  <c r="K362" i="6"/>
  <c r="K359" i="6"/>
  <c r="K823" i="7"/>
  <c r="L334" i="7"/>
  <c r="O334" i="7" s="1"/>
  <c r="O336" i="7"/>
  <c r="K369" i="7"/>
  <c r="L330" i="7"/>
  <c r="L328" i="7" s="1"/>
  <c r="P282" i="7"/>
  <c r="P269" i="7"/>
  <c r="N68" i="7"/>
  <c r="N66" i="7" s="1"/>
  <c r="P336" i="7"/>
  <c r="M317" i="7"/>
  <c r="P317" i="7" s="1"/>
  <c r="P266" i="7"/>
  <c r="K255" i="7"/>
  <c r="K244" i="7"/>
  <c r="L167" i="7"/>
  <c r="L165" i="7" s="1"/>
  <c r="L68" i="7"/>
  <c r="O68" i="7" s="1"/>
  <c r="L404" i="7"/>
  <c r="O404" i="7" s="1"/>
  <c r="K359" i="7"/>
  <c r="M347" i="7"/>
  <c r="M345" i="7" s="1"/>
  <c r="M263" i="7"/>
  <c r="M261" i="7" s="1"/>
  <c r="L59" i="7"/>
  <c r="O59" i="7" s="1"/>
  <c r="L391" i="7"/>
  <c r="O391" i="7" s="1"/>
  <c r="I197" i="7"/>
  <c r="K197" i="7" s="1"/>
  <c r="P184" i="7"/>
  <c r="K372" i="5"/>
  <c r="L231" i="5"/>
  <c r="K826" i="7"/>
  <c r="L533" i="7"/>
  <c r="O533" i="7" s="1"/>
  <c r="L446" i="7"/>
  <c r="L444" i="7" s="1"/>
  <c r="O444" i="7" s="1"/>
  <c r="K340" i="7"/>
  <c r="L230" i="7"/>
  <c r="M121" i="7"/>
  <c r="P121" i="7" s="1"/>
  <c r="K828" i="6"/>
  <c r="K822" i="6"/>
  <c r="K825" i="7"/>
  <c r="L805" i="7"/>
  <c r="O805" i="7" s="1"/>
  <c r="L754" i="7"/>
  <c r="O754" i="7" s="1"/>
  <c r="K726" i="7"/>
  <c r="J721" i="7"/>
  <c r="K721" i="7" s="1"/>
  <c r="N658" i="7"/>
  <c r="M629" i="7"/>
  <c r="P629" i="7" s="1"/>
  <c r="K561" i="7"/>
  <c r="K466" i="7"/>
  <c r="K460" i="7"/>
  <c r="P407" i="7"/>
  <c r="K378" i="7"/>
  <c r="K355" i="7"/>
  <c r="J327" i="7"/>
  <c r="K327" i="7" s="1"/>
  <c r="P333" i="7"/>
  <c r="K287" i="7"/>
  <c r="O282" i="7"/>
  <c r="O266" i="7"/>
  <c r="M264" i="7"/>
  <c r="P264" i="7" s="1"/>
  <c r="K215" i="7"/>
  <c r="L209" i="7"/>
  <c r="O209" i="7" s="1"/>
  <c r="K193" i="7"/>
  <c r="J164" i="7"/>
  <c r="M151" i="7"/>
  <c r="P151" i="7" s="1"/>
  <c r="K145" i="7"/>
  <c r="M55" i="7"/>
  <c r="M53" i="7" s="1"/>
  <c r="M29" i="7"/>
  <c r="L789" i="7"/>
  <c r="O789" i="7" s="1"/>
  <c r="M786" i="7"/>
  <c r="P786" i="7" s="1"/>
  <c r="M754" i="7"/>
  <c r="P754" i="7" s="1"/>
  <c r="K669" i="7"/>
  <c r="K594" i="7"/>
  <c r="K560" i="7"/>
  <c r="L547" i="7"/>
  <c r="K465" i="7"/>
  <c r="K442" i="7"/>
  <c r="O407" i="7"/>
  <c r="M395" i="7"/>
  <c r="P395" i="7" s="1"/>
  <c r="N392" i="7"/>
  <c r="O353" i="7"/>
  <c r="O333" i="7"/>
  <c r="O303" i="7"/>
  <c r="K190" i="7"/>
  <c r="M183" i="7"/>
  <c r="N134" i="7"/>
  <c r="N132" i="7" s="1"/>
  <c r="M90" i="7"/>
  <c r="M88" i="7" s="1"/>
  <c r="O71" i="7"/>
  <c r="J364" i="5"/>
  <c r="O472" i="7"/>
  <c r="L447" i="7"/>
  <c r="O447" i="7" s="1"/>
  <c r="N404" i="7"/>
  <c r="N402" i="7" s="1"/>
  <c r="L405" i="7"/>
  <c r="O405" i="7" s="1"/>
  <c r="K365" i="7"/>
  <c r="O350" i="7"/>
  <c r="M348" i="7"/>
  <c r="N330" i="7"/>
  <c r="N328" i="7" s="1"/>
  <c r="L331" i="7"/>
  <c r="O331" i="7" s="1"/>
  <c r="L301" i="7"/>
  <c r="O301" i="7" s="1"/>
  <c r="M23" i="7"/>
  <c r="M21" i="7" s="1"/>
  <c r="M279" i="7"/>
  <c r="M277" i="7" s="1"/>
  <c r="P277" i="7" s="1"/>
  <c r="L217" i="7"/>
  <c r="O217" i="7" s="1"/>
  <c r="M181" i="7"/>
  <c r="J143" i="7"/>
  <c r="J131" i="7" s="1"/>
  <c r="P127" i="7"/>
  <c r="K99" i="7"/>
  <c r="L69" i="7"/>
  <c r="O69" i="7" s="1"/>
  <c r="P61" i="7"/>
  <c r="L43" i="7"/>
  <c r="L41" i="7" s="1"/>
  <c r="K374" i="7"/>
  <c r="K826" i="6"/>
  <c r="K823" i="6"/>
  <c r="K824" i="7"/>
  <c r="N805" i="7"/>
  <c r="N788" i="7"/>
  <c r="N786" i="7" s="1"/>
  <c r="L770" i="7"/>
  <c r="O770" i="7" s="1"/>
  <c r="L737" i="7"/>
  <c r="O737" i="7" s="1"/>
  <c r="K725" i="7"/>
  <c r="O641" i="7"/>
  <c r="K568" i="7"/>
  <c r="J537" i="7"/>
  <c r="J522" i="7" s="1"/>
  <c r="L454" i="7"/>
  <c r="O454" i="7" s="1"/>
  <c r="I443" i="7"/>
  <c r="K443" i="7" s="1"/>
  <c r="M391" i="7"/>
  <c r="P391" i="7" s="1"/>
  <c r="K372" i="7"/>
  <c r="P350" i="7"/>
  <c r="P331" i="7"/>
  <c r="K325" i="7"/>
  <c r="K288" i="7"/>
  <c r="O264" i="7"/>
  <c r="K216" i="7"/>
  <c r="M167" i="7"/>
  <c r="M165" i="7" s="1"/>
  <c r="P157" i="7"/>
  <c r="L134" i="7"/>
  <c r="O134" i="7" s="1"/>
  <c r="P124" i="7"/>
  <c r="M122" i="7"/>
  <c r="P122" i="7" s="1"/>
  <c r="I112" i="7"/>
  <c r="K112" i="7" s="1"/>
  <c r="J592" i="7"/>
  <c r="K592" i="7" s="1"/>
  <c r="K593" i="7"/>
  <c r="O788" i="7"/>
  <c r="L786" i="7"/>
  <c r="O786" i="7" s="1"/>
  <c r="O688" i="7"/>
  <c r="O657" i="7"/>
  <c r="K381" i="6"/>
  <c r="P350" i="6"/>
  <c r="K338" i="6"/>
  <c r="O323" i="6"/>
  <c r="O320" i="6"/>
  <c r="N772" i="7"/>
  <c r="N770" i="7" s="1"/>
  <c r="N756" i="7"/>
  <c r="N754" i="7" s="1"/>
  <c r="N739" i="7"/>
  <c r="N737" i="7" s="1"/>
  <c r="N687" i="7"/>
  <c r="O634" i="7"/>
  <c r="N631" i="7"/>
  <c r="N629" i="7" s="1"/>
  <c r="M549" i="7"/>
  <c r="N547" i="7"/>
  <c r="L526" i="7"/>
  <c r="O526" i="7" s="1"/>
  <c r="L502" i="7"/>
  <c r="O502" i="7" s="1"/>
  <c r="N300" i="7"/>
  <c r="N298" i="7" s="1"/>
  <c r="N125" i="7"/>
  <c r="N121" i="7"/>
  <c r="N119" i="7" s="1"/>
  <c r="L525" i="7"/>
  <c r="O525" i="7" s="1"/>
  <c r="L33" i="7"/>
  <c r="M424" i="7"/>
  <c r="O424" i="7"/>
  <c r="L422" i="7"/>
  <c r="O422" i="7" s="1"/>
  <c r="I226" i="7"/>
  <c r="K226" i="7" s="1"/>
  <c r="K237" i="7"/>
  <c r="K355" i="4"/>
  <c r="I216" i="6"/>
  <c r="K216" i="6" s="1"/>
  <c r="O690" i="7"/>
  <c r="K674" i="7"/>
  <c r="P656" i="7"/>
  <c r="I654" i="7"/>
  <c r="K654" i="7" s="1"/>
  <c r="K540" i="7"/>
  <c r="K537" i="7"/>
  <c r="N502" i="7"/>
  <c r="I417" i="7"/>
  <c r="P806" i="7"/>
  <c r="P787" i="7"/>
  <c r="O656" i="7"/>
  <c r="L631" i="7"/>
  <c r="O631" i="7" s="1"/>
  <c r="J559" i="7"/>
  <c r="J543" i="7" s="1"/>
  <c r="K543" i="7" s="1"/>
  <c r="P545" i="7"/>
  <c r="P299" i="7"/>
  <c r="O35" i="7"/>
  <c r="L29" i="7"/>
  <c r="L36" i="7"/>
  <c r="O36" i="7" s="1"/>
  <c r="O431" i="7"/>
  <c r="L429" i="7"/>
  <c r="O429" i="7" s="1"/>
  <c r="L249" i="7"/>
  <c r="O249" i="7" s="1"/>
  <c r="O280" i="3"/>
  <c r="M690" i="7"/>
  <c r="O660" i="7"/>
  <c r="N525" i="7"/>
  <c r="N523" i="7" s="1"/>
  <c r="O397" i="7"/>
  <c r="L395" i="7"/>
  <c r="O395" i="7" s="1"/>
  <c r="O323" i="7"/>
  <c r="L321" i="7"/>
  <c r="O321" i="7" s="1"/>
  <c r="K271" i="7"/>
  <c r="I260" i="7"/>
  <c r="K260" i="7" s="1"/>
  <c r="P120" i="7"/>
  <c r="N26" i="7"/>
  <c r="N546" i="7"/>
  <c r="N544" i="7" s="1"/>
  <c r="P168" i="3"/>
  <c r="L421" i="7"/>
  <c r="O421" i="7" s="1"/>
  <c r="O394" i="7"/>
  <c r="L392" i="7"/>
  <c r="O392" i="7" s="1"/>
  <c r="O320" i="7"/>
  <c r="L318" i="7"/>
  <c r="O318" i="7" s="1"/>
  <c r="P262" i="7"/>
  <c r="O189" i="7"/>
  <c r="L187" i="7"/>
  <c r="O187" i="7" s="1"/>
  <c r="O186" i="7"/>
  <c r="L184" i="7"/>
  <c r="O184" i="7" s="1"/>
  <c r="L183" i="7"/>
  <c r="P15" i="7"/>
  <c r="L15" i="7"/>
  <c r="N469" i="7"/>
  <c r="N467" i="7" s="1"/>
  <c r="N347" i="7"/>
  <c r="M300" i="7"/>
  <c r="P300" i="7" s="1"/>
  <c r="N279" i="7"/>
  <c r="N277" i="7" s="1"/>
  <c r="N263" i="7"/>
  <c r="N261" i="7" s="1"/>
  <c r="I233" i="7"/>
  <c r="K233" i="7" s="1"/>
  <c r="P150" i="7"/>
  <c r="N23" i="7"/>
  <c r="N21" i="7" s="1"/>
  <c r="L12" i="7"/>
  <c r="L19" i="7"/>
  <c r="O22" i="7"/>
  <c r="O479" i="7"/>
  <c r="M472" i="7"/>
  <c r="O449" i="7"/>
  <c r="K435" i="7"/>
  <c r="J433" i="7"/>
  <c r="J417" i="7" s="1"/>
  <c r="O420" i="7"/>
  <c r="P394" i="7"/>
  <c r="O390" i="7"/>
  <c r="N351" i="7"/>
  <c r="P351" i="7" s="1"/>
  <c r="N348" i="7"/>
  <c r="P320" i="7"/>
  <c r="O316" i="7"/>
  <c r="K309" i="7"/>
  <c r="M304" i="7"/>
  <c r="P304" i="7" s="1"/>
  <c r="M301" i="7"/>
  <c r="P301" i="7" s="1"/>
  <c r="N280" i="7"/>
  <c r="L279" i="7"/>
  <c r="O279" i="7" s="1"/>
  <c r="O269" i="7"/>
  <c r="L263" i="7"/>
  <c r="P168" i="7"/>
  <c r="I131" i="7"/>
  <c r="K131" i="7" s="1"/>
  <c r="I77" i="7"/>
  <c r="P54" i="7"/>
  <c r="M34" i="7"/>
  <c r="P34" i="7" s="1"/>
  <c r="P36" i="7"/>
  <c r="L469" i="7"/>
  <c r="N446" i="7"/>
  <c r="N444" i="7" s="1"/>
  <c r="M404" i="7"/>
  <c r="L347" i="7"/>
  <c r="M330" i="7"/>
  <c r="L238" i="7"/>
  <c r="L198" i="7"/>
  <c r="O198" i="7" s="1"/>
  <c r="O96" i="7"/>
  <c r="L94" i="7"/>
  <c r="O94" i="7" s="1"/>
  <c r="O93" i="7"/>
  <c r="L91" i="7"/>
  <c r="O91" i="7" s="1"/>
  <c r="P58" i="7"/>
  <c r="N56" i="7"/>
  <c r="O56" i="7" s="1"/>
  <c r="M449" i="7"/>
  <c r="N33" i="7"/>
  <c r="N421" i="7"/>
  <c r="N419" i="7" s="1"/>
  <c r="I364" i="7"/>
  <c r="N317" i="7"/>
  <c r="N315" i="7" s="1"/>
  <c r="O278" i="7"/>
  <c r="N151" i="7"/>
  <c r="N149" i="7" s="1"/>
  <c r="K98" i="7"/>
  <c r="J86" i="7"/>
  <c r="K86" i="7" s="1"/>
  <c r="P29" i="7"/>
  <c r="O173" i="7"/>
  <c r="L171" i="7"/>
  <c r="O171" i="7" s="1"/>
  <c r="O170" i="7"/>
  <c r="L168" i="7"/>
  <c r="O168" i="7" s="1"/>
  <c r="O58" i="7"/>
  <c r="N55" i="7"/>
  <c r="N53" i="7" s="1"/>
  <c r="P182" i="7"/>
  <c r="I174" i="7"/>
  <c r="P166" i="7"/>
  <c r="P140" i="7"/>
  <c r="P137" i="7"/>
  <c r="O133" i="7"/>
  <c r="P89" i="7"/>
  <c r="I87" i="7"/>
  <c r="K87" i="7" s="1"/>
  <c r="P74" i="7"/>
  <c r="P71" i="7"/>
  <c r="O67" i="7"/>
  <c r="P49" i="7"/>
  <c r="P46" i="7"/>
  <c r="O42" i="7"/>
  <c r="L23" i="7"/>
  <c r="L21" i="7" s="1"/>
  <c r="N19" i="7"/>
  <c r="N12" i="7"/>
  <c r="P186" i="7"/>
  <c r="P170" i="7"/>
  <c r="L151" i="7"/>
  <c r="K144" i="7"/>
  <c r="L121" i="7"/>
  <c r="P93" i="7"/>
  <c r="L55" i="7"/>
  <c r="O46" i="7"/>
  <c r="M19" i="7"/>
  <c r="M12" i="7"/>
  <c r="L155" i="7"/>
  <c r="O155" i="7" s="1"/>
  <c r="L152" i="7"/>
  <c r="O152" i="7" s="1"/>
  <c r="L125" i="7"/>
  <c r="O125" i="7" s="1"/>
  <c r="L122" i="7"/>
  <c r="O122" i="7" s="1"/>
  <c r="K115" i="7"/>
  <c r="K79" i="7"/>
  <c r="N43" i="7"/>
  <c r="N41" i="7" s="1"/>
  <c r="N34" i="7"/>
  <c r="M26" i="7"/>
  <c r="M24" i="7" s="1"/>
  <c r="N183" i="7"/>
  <c r="N181" i="7" s="1"/>
  <c r="N167" i="7"/>
  <c r="N165" i="7" s="1"/>
  <c r="M134" i="7"/>
  <c r="P134" i="7" s="1"/>
  <c r="N90" i="7"/>
  <c r="N88" i="7" s="1"/>
  <c r="M68" i="7"/>
  <c r="P68" i="7" s="1"/>
  <c r="N44" i="7"/>
  <c r="O44" i="7" s="1"/>
  <c r="M43" i="7"/>
  <c r="N29" i="7"/>
  <c r="L26" i="7"/>
  <c r="L24" i="7" s="1"/>
  <c r="P32" i="7"/>
  <c r="P25" i="7"/>
  <c r="K370" i="5"/>
  <c r="K699" i="6"/>
  <c r="N279" i="6"/>
  <c r="N277" i="6" s="1"/>
  <c r="P269" i="6"/>
  <c r="N263" i="6"/>
  <c r="N261" i="6" s="1"/>
  <c r="N151" i="6"/>
  <c r="N149" i="6" s="1"/>
  <c r="O184" i="5"/>
  <c r="L632" i="5"/>
  <c r="O632" i="5" s="1"/>
  <c r="L446" i="5"/>
  <c r="O446" i="5" s="1"/>
  <c r="I364" i="5"/>
  <c r="O641" i="6"/>
  <c r="K340" i="6"/>
  <c r="M94" i="6"/>
  <c r="P94" i="6" s="1"/>
  <c r="L68" i="6"/>
  <c r="O68" i="6" s="1"/>
  <c r="K244" i="6"/>
  <c r="K193" i="6"/>
  <c r="L125" i="6"/>
  <c r="O125" i="6" s="1"/>
  <c r="O127" i="6"/>
  <c r="M47" i="6"/>
  <c r="P47" i="6" s="1"/>
  <c r="P49" i="6"/>
  <c r="L347" i="5"/>
  <c r="L345" i="5" s="1"/>
  <c r="L392" i="6"/>
  <c r="O392" i="6" s="1"/>
  <c r="O394" i="6"/>
  <c r="K360" i="6"/>
  <c r="N404" i="6"/>
  <c r="N402" i="6" s="1"/>
  <c r="L395" i="6"/>
  <c r="O395" i="6" s="1"/>
  <c r="O397" i="6"/>
  <c r="M304" i="6"/>
  <c r="P304" i="6" s="1"/>
  <c r="K287" i="6"/>
  <c r="K271" i="6"/>
  <c r="I260" i="6"/>
  <c r="K260" i="6" s="1"/>
  <c r="L429" i="6"/>
  <c r="O429" i="6" s="1"/>
  <c r="O431" i="6"/>
  <c r="K700" i="6"/>
  <c r="L171" i="6"/>
  <c r="O171" i="6" s="1"/>
  <c r="O173" i="6"/>
  <c r="L122" i="6"/>
  <c r="O122" i="6" s="1"/>
  <c r="O124" i="6"/>
  <c r="O431" i="5"/>
  <c r="K824" i="6"/>
  <c r="K821" i="6"/>
  <c r="K800" i="6"/>
  <c r="O535" i="6"/>
  <c r="K460" i="6"/>
  <c r="K369" i="6"/>
  <c r="K355" i="6"/>
  <c r="N317" i="6"/>
  <c r="N315" i="6" s="1"/>
  <c r="M300" i="6"/>
  <c r="P300" i="6" s="1"/>
  <c r="L217" i="6"/>
  <c r="O217" i="6" s="1"/>
  <c r="L183" i="6"/>
  <c r="L181" i="6" s="1"/>
  <c r="O157" i="6"/>
  <c r="P74" i="6"/>
  <c r="L72" i="6"/>
  <c r="O72" i="6" s="1"/>
  <c r="L230" i="6"/>
  <c r="L209" i="6"/>
  <c r="O209" i="6" s="1"/>
  <c r="P91" i="6"/>
  <c r="K594" i="6"/>
  <c r="K379" i="6"/>
  <c r="K374" i="6"/>
  <c r="K378" i="6"/>
  <c r="I364" i="6"/>
  <c r="O306" i="6"/>
  <c r="L249" i="6"/>
  <c r="O249" i="6" s="1"/>
  <c r="L228" i="6"/>
  <c r="L151" i="6"/>
  <c r="O151" i="6" s="1"/>
  <c r="K825" i="6"/>
  <c r="O690" i="6"/>
  <c r="L687" i="6"/>
  <c r="L685" i="6" s="1"/>
  <c r="O685" i="6" s="1"/>
  <c r="K647" i="6"/>
  <c r="M629" i="6"/>
  <c r="K593" i="6"/>
  <c r="K537" i="6"/>
  <c r="K370" i="6"/>
  <c r="O348" i="6"/>
  <c r="L334" i="6"/>
  <c r="O334" i="6" s="1"/>
  <c r="K325" i="6"/>
  <c r="P303" i="6"/>
  <c r="P285" i="6"/>
  <c r="P266" i="6"/>
  <c r="L198" i="6"/>
  <c r="O198" i="6" s="1"/>
  <c r="L152" i="6"/>
  <c r="O152" i="6" s="1"/>
  <c r="K146" i="6"/>
  <c r="I143" i="6"/>
  <c r="L134" i="6"/>
  <c r="O134" i="6" s="1"/>
  <c r="L121" i="6"/>
  <c r="L90" i="6"/>
  <c r="L88" i="6" s="1"/>
  <c r="L59" i="6"/>
  <c r="O59" i="6" s="1"/>
  <c r="K827" i="6"/>
  <c r="O660" i="6"/>
  <c r="L657" i="6"/>
  <c r="L655" i="6" s="1"/>
  <c r="O528" i="6"/>
  <c r="K435" i="6"/>
  <c r="L408" i="6"/>
  <c r="O408" i="6" s="1"/>
  <c r="P397" i="6"/>
  <c r="K309" i="6"/>
  <c r="O303" i="6"/>
  <c r="P282" i="6"/>
  <c r="N280" i="6"/>
  <c r="O266" i="6"/>
  <c r="N264" i="6"/>
  <c r="P264" i="6" s="1"/>
  <c r="L231" i="6"/>
  <c r="O189" i="6"/>
  <c r="I174" i="6"/>
  <c r="P140" i="6"/>
  <c r="K379" i="5"/>
  <c r="M690" i="6"/>
  <c r="M688" i="6" s="1"/>
  <c r="P688" i="6" s="1"/>
  <c r="M660" i="6"/>
  <c r="M658" i="6" s="1"/>
  <c r="P658" i="6" s="1"/>
  <c r="K560" i="6"/>
  <c r="K462" i="6"/>
  <c r="O456" i="6"/>
  <c r="P353" i="6"/>
  <c r="M301" i="6"/>
  <c r="P301" i="6" s="1"/>
  <c r="M263" i="6"/>
  <c r="P263" i="6" s="1"/>
  <c r="L187" i="6"/>
  <c r="O187" i="6" s="1"/>
  <c r="L138" i="6"/>
  <c r="O138" i="6" s="1"/>
  <c r="L43" i="6"/>
  <c r="L41" i="6" s="1"/>
  <c r="L94" i="5"/>
  <c r="O94" i="5" s="1"/>
  <c r="L330" i="6"/>
  <c r="L328" i="6" s="1"/>
  <c r="N318" i="6"/>
  <c r="L263" i="6"/>
  <c r="O186" i="6"/>
  <c r="M171" i="6"/>
  <c r="P171" i="6" s="1"/>
  <c r="L55" i="6"/>
  <c r="L53" i="6" s="1"/>
  <c r="O688" i="6"/>
  <c r="K674" i="6"/>
  <c r="L404" i="6"/>
  <c r="O404" i="6" s="1"/>
  <c r="P351" i="6"/>
  <c r="N347" i="6"/>
  <c r="J327" i="6"/>
  <c r="K327" i="6" s="1"/>
  <c r="M167" i="6"/>
  <c r="P154" i="6"/>
  <c r="L69" i="6"/>
  <c r="O69" i="6" s="1"/>
  <c r="L525" i="6"/>
  <c r="O525" i="6" s="1"/>
  <c r="I434" i="6"/>
  <c r="I418" i="6" s="1"/>
  <c r="K418" i="6" s="1"/>
  <c r="N391" i="6"/>
  <c r="N389" i="6" s="1"/>
  <c r="M391" i="6"/>
  <c r="P391" i="6" s="1"/>
  <c r="O351" i="6"/>
  <c r="P348" i="6"/>
  <c r="O269" i="6"/>
  <c r="O154" i="6"/>
  <c r="I112" i="6"/>
  <c r="K112" i="6" s="1"/>
  <c r="M90" i="6"/>
  <c r="M88" i="6" s="1"/>
  <c r="I77" i="6"/>
  <c r="K77" i="6" s="1"/>
  <c r="P46" i="6"/>
  <c r="L44" i="6"/>
  <c r="N632" i="6"/>
  <c r="N631" i="6"/>
  <c r="N629" i="6" s="1"/>
  <c r="K559" i="6"/>
  <c r="I543" i="6"/>
  <c r="K543" i="6" s="1"/>
  <c r="K628" i="6"/>
  <c r="N547" i="6"/>
  <c r="N546" i="6"/>
  <c r="N544" i="6" s="1"/>
  <c r="L788" i="6"/>
  <c r="K577" i="6"/>
  <c r="L547" i="6"/>
  <c r="N526" i="6"/>
  <c r="M469" i="6"/>
  <c r="M422" i="6"/>
  <c r="P422" i="6" s="1"/>
  <c r="M408" i="6"/>
  <c r="P408" i="6" s="1"/>
  <c r="P410" i="6"/>
  <c r="P323" i="6"/>
  <c r="M321" i="6"/>
  <c r="P321" i="6" s="1"/>
  <c r="M317" i="6"/>
  <c r="K827" i="5"/>
  <c r="K824" i="5"/>
  <c r="K821" i="5"/>
  <c r="M391" i="5"/>
  <c r="P391" i="5" s="1"/>
  <c r="P323" i="5"/>
  <c r="L238" i="5"/>
  <c r="P806" i="6"/>
  <c r="L789" i="6"/>
  <c r="O789" i="6" s="1"/>
  <c r="P787" i="6"/>
  <c r="K673" i="6"/>
  <c r="K669" i="6"/>
  <c r="K651" i="6"/>
  <c r="K649" i="6"/>
  <c r="P634" i="6"/>
  <c r="J592" i="6"/>
  <c r="K592" i="6" s="1"/>
  <c r="K576" i="6"/>
  <c r="O524" i="6"/>
  <c r="M523" i="6"/>
  <c r="P523" i="6" s="1"/>
  <c r="O503" i="6"/>
  <c r="O479" i="6"/>
  <c r="L477" i="6"/>
  <c r="O477" i="6" s="1"/>
  <c r="L469" i="6"/>
  <c r="K465" i="6"/>
  <c r="P446" i="6"/>
  <c r="P394" i="6"/>
  <c r="O331" i="6"/>
  <c r="P320" i="6"/>
  <c r="M318" i="6"/>
  <c r="P318" i="6" s="1"/>
  <c r="N183" i="6"/>
  <c r="N181" i="6" s="1"/>
  <c r="N187" i="6"/>
  <c r="O29" i="6"/>
  <c r="P189" i="5"/>
  <c r="J722" i="6"/>
  <c r="K672" i="6"/>
  <c r="O634" i="6"/>
  <c r="L631" i="6"/>
  <c r="M545" i="6"/>
  <c r="L447" i="6"/>
  <c r="O447" i="6" s="1"/>
  <c r="O449" i="6"/>
  <c r="K438" i="6"/>
  <c r="M421" i="6"/>
  <c r="M405" i="6"/>
  <c r="P405" i="6" s="1"/>
  <c r="P407" i="6"/>
  <c r="K225" i="6"/>
  <c r="O282" i="5"/>
  <c r="O807" i="6"/>
  <c r="P772" i="6"/>
  <c r="O771" i="6"/>
  <c r="P756" i="6"/>
  <c r="O755" i="6"/>
  <c r="P739" i="6"/>
  <c r="O738" i="6"/>
  <c r="O665" i="6"/>
  <c r="I654" i="6"/>
  <c r="K654" i="6" s="1"/>
  <c r="M632" i="6"/>
  <c r="P630" i="6"/>
  <c r="P549" i="6"/>
  <c r="M502" i="6"/>
  <c r="P502" i="6" s="1"/>
  <c r="L446" i="6"/>
  <c r="O446" i="6" s="1"/>
  <c r="P424" i="6"/>
  <c r="O420" i="6"/>
  <c r="P331" i="6"/>
  <c r="O316" i="6"/>
  <c r="K78" i="6"/>
  <c r="I76" i="6"/>
  <c r="N23" i="6"/>
  <c r="N21" i="6" s="1"/>
  <c r="M9" i="6"/>
  <c r="P12" i="6"/>
  <c r="P306" i="5"/>
  <c r="N807" i="6"/>
  <c r="N805" i="6" s="1"/>
  <c r="L632" i="6"/>
  <c r="O632" i="6" s="1"/>
  <c r="O549" i="6"/>
  <c r="L546" i="6"/>
  <c r="J537" i="6"/>
  <c r="J522" i="6" s="1"/>
  <c r="M470" i="6"/>
  <c r="K437" i="6"/>
  <c r="J433" i="6"/>
  <c r="J417" i="6" s="1"/>
  <c r="K417" i="6" s="1"/>
  <c r="M404" i="6"/>
  <c r="P404" i="6" s="1"/>
  <c r="P186" i="6"/>
  <c r="M183" i="6"/>
  <c r="M23" i="6"/>
  <c r="M184" i="6"/>
  <c r="P184" i="6" s="1"/>
  <c r="N167" i="6"/>
  <c r="N165" i="6" s="1"/>
  <c r="O170" i="6"/>
  <c r="N168" i="6"/>
  <c r="O168" i="6" s="1"/>
  <c r="K159" i="6"/>
  <c r="I148" i="6"/>
  <c r="K148" i="6" s="1"/>
  <c r="J721" i="6"/>
  <c r="O656" i="6"/>
  <c r="K569" i="6"/>
  <c r="O557" i="6"/>
  <c r="M547" i="6"/>
  <c r="P547" i="6" s="1"/>
  <c r="L470" i="6"/>
  <c r="K466" i="6"/>
  <c r="O445" i="6"/>
  <c r="K372" i="6"/>
  <c r="J365" i="6"/>
  <c r="O184" i="6"/>
  <c r="O15" i="6"/>
  <c r="L33" i="6"/>
  <c r="L31" i="6" s="1"/>
  <c r="L421" i="6"/>
  <c r="L419" i="6" s="1"/>
  <c r="L391" i="6"/>
  <c r="O391" i="6" s="1"/>
  <c r="O353" i="6"/>
  <c r="O350" i="6"/>
  <c r="P336" i="6"/>
  <c r="P333" i="6"/>
  <c r="L317" i="6"/>
  <c r="O317" i="6" s="1"/>
  <c r="N300" i="6"/>
  <c r="N298" i="6" s="1"/>
  <c r="K288" i="6"/>
  <c r="O285" i="6"/>
  <c r="O282" i="6"/>
  <c r="K237" i="6"/>
  <c r="I208" i="6"/>
  <c r="K208" i="6" s="1"/>
  <c r="I197" i="6"/>
  <c r="K197" i="6" s="1"/>
  <c r="P182" i="6"/>
  <c r="P170" i="6"/>
  <c r="L167" i="6"/>
  <c r="P157" i="6"/>
  <c r="O150" i="6"/>
  <c r="K98" i="6"/>
  <c r="P54" i="6"/>
  <c r="L26" i="6"/>
  <c r="L24" i="6" s="1"/>
  <c r="L12" i="6"/>
  <c r="L19" i="6"/>
  <c r="O22" i="6"/>
  <c r="L422" i="6"/>
  <c r="O422" i="6" s="1"/>
  <c r="O407" i="6"/>
  <c r="O333" i="6"/>
  <c r="J288" i="6"/>
  <c r="J275" i="6" s="1"/>
  <c r="L229" i="6"/>
  <c r="J226" i="6"/>
  <c r="J180" i="6" s="1"/>
  <c r="M187" i="6"/>
  <c r="P187" i="6" s="1"/>
  <c r="M168" i="6"/>
  <c r="P166" i="6"/>
  <c r="N121" i="6"/>
  <c r="N119" i="6" s="1"/>
  <c r="M34" i="6"/>
  <c r="P34" i="6" s="1"/>
  <c r="P36" i="6"/>
  <c r="M347" i="6"/>
  <c r="N330" i="6"/>
  <c r="N328" i="6" s="1"/>
  <c r="L300" i="6"/>
  <c r="M279" i="6"/>
  <c r="I248" i="6"/>
  <c r="K248" i="6" s="1"/>
  <c r="K255" i="6"/>
  <c r="L238" i="6"/>
  <c r="N155" i="6"/>
  <c r="J143" i="6"/>
  <c r="J131" i="6" s="1"/>
  <c r="K144" i="6"/>
  <c r="L347" i="6"/>
  <c r="L345" i="6" s="1"/>
  <c r="M330" i="6"/>
  <c r="M328" i="6" s="1"/>
  <c r="L279" i="6"/>
  <c r="O279" i="6" s="1"/>
  <c r="P120" i="6"/>
  <c r="O96" i="6"/>
  <c r="L94" i="6"/>
  <c r="O94" i="6" s="1"/>
  <c r="O93" i="6"/>
  <c r="L91" i="6"/>
  <c r="O91" i="6" s="1"/>
  <c r="O58" i="6"/>
  <c r="N56" i="6"/>
  <c r="P15" i="6"/>
  <c r="L36" i="6"/>
  <c r="O36" i="6" s="1"/>
  <c r="N421" i="6"/>
  <c r="N419" i="6" s="1"/>
  <c r="I233" i="6"/>
  <c r="K233" i="6" s="1"/>
  <c r="M151" i="6"/>
  <c r="P151" i="6" s="1"/>
  <c r="P58" i="6"/>
  <c r="N55" i="6"/>
  <c r="N53" i="6" s="1"/>
  <c r="O35" i="6"/>
  <c r="M121" i="6"/>
  <c r="P121" i="6" s="1"/>
  <c r="I87" i="6"/>
  <c r="K87" i="6" s="1"/>
  <c r="M55" i="6"/>
  <c r="M53" i="6" s="1"/>
  <c r="L23" i="6"/>
  <c r="N19" i="6"/>
  <c r="N12" i="6"/>
  <c r="O137" i="6"/>
  <c r="M125" i="6"/>
  <c r="P125" i="6" s="1"/>
  <c r="M122" i="6"/>
  <c r="P122" i="6" s="1"/>
  <c r="P93" i="6"/>
  <c r="O71" i="6"/>
  <c r="M59" i="6"/>
  <c r="P59" i="6" s="1"/>
  <c r="M56" i="6"/>
  <c r="O49" i="6"/>
  <c r="O46" i="6"/>
  <c r="P35" i="6"/>
  <c r="N26" i="6"/>
  <c r="P22" i="6"/>
  <c r="M19" i="6"/>
  <c r="N134" i="6"/>
  <c r="N132" i="6" s="1"/>
  <c r="K115" i="6"/>
  <c r="N68" i="6"/>
  <c r="N66" i="6" s="1"/>
  <c r="N43" i="6"/>
  <c r="N41" i="6" s="1"/>
  <c r="M26" i="6"/>
  <c r="M134" i="6"/>
  <c r="P134" i="6" s="1"/>
  <c r="N90" i="6"/>
  <c r="I86" i="6"/>
  <c r="K86" i="6" s="1"/>
  <c r="M68" i="6"/>
  <c r="P68" i="6" s="1"/>
  <c r="N44" i="6"/>
  <c r="M43" i="6"/>
  <c r="M29" i="6"/>
  <c r="K338" i="3"/>
  <c r="K340" i="5"/>
  <c r="N134" i="5"/>
  <c r="N132" i="5" s="1"/>
  <c r="O93" i="5"/>
  <c r="K359" i="5"/>
  <c r="K385" i="5"/>
  <c r="O323" i="5"/>
  <c r="P173" i="5"/>
  <c r="K651" i="5"/>
  <c r="K365" i="5"/>
  <c r="O173" i="5"/>
  <c r="J721" i="5"/>
  <c r="P282" i="5"/>
  <c r="O266" i="5"/>
  <c r="K224" i="5"/>
  <c r="K378" i="5"/>
  <c r="L209" i="5"/>
  <c r="O209" i="5" s="1"/>
  <c r="M151" i="5"/>
  <c r="M149" i="5" s="1"/>
  <c r="P149" i="5" s="1"/>
  <c r="M68" i="5"/>
  <c r="P68" i="5" s="1"/>
  <c r="I628" i="5"/>
  <c r="K628" i="5" s="1"/>
  <c r="K435" i="5"/>
  <c r="M300" i="5"/>
  <c r="M298" i="5" s="1"/>
  <c r="P186" i="5"/>
  <c r="K176" i="5"/>
  <c r="P170" i="5"/>
  <c r="P91" i="5"/>
  <c r="J722" i="5"/>
  <c r="O660" i="5"/>
  <c r="L408" i="5"/>
  <c r="O408" i="5" s="1"/>
  <c r="L405" i="5"/>
  <c r="O405" i="5" s="1"/>
  <c r="N317" i="5"/>
  <c r="N315" i="5" s="1"/>
  <c r="L229" i="4"/>
  <c r="O456" i="5"/>
  <c r="P394" i="5"/>
  <c r="N347" i="5"/>
  <c r="N345" i="5" s="1"/>
  <c r="K204" i="5"/>
  <c r="P168" i="5"/>
  <c r="M122" i="5"/>
  <c r="P122" i="5" s="1"/>
  <c r="I76" i="5"/>
  <c r="K76" i="5" s="1"/>
  <c r="P74" i="5"/>
  <c r="M55" i="5"/>
  <c r="M53" i="5" s="1"/>
  <c r="K215" i="4"/>
  <c r="O535" i="5"/>
  <c r="K462" i="5"/>
  <c r="P351" i="5"/>
  <c r="K325" i="5"/>
  <c r="L217" i="5"/>
  <c r="O217" i="5" s="1"/>
  <c r="O168" i="5"/>
  <c r="M155" i="5"/>
  <c r="P155" i="5" s="1"/>
  <c r="M94" i="5"/>
  <c r="P94" i="5" s="1"/>
  <c r="L72" i="5"/>
  <c r="O72" i="5" s="1"/>
  <c r="P49" i="5"/>
  <c r="L737" i="5"/>
  <c r="O737" i="5" s="1"/>
  <c r="L300" i="5"/>
  <c r="L298" i="5" s="1"/>
  <c r="O138" i="5"/>
  <c r="N121" i="5"/>
  <c r="N119" i="5" s="1"/>
  <c r="L55" i="5"/>
  <c r="L53" i="5" s="1"/>
  <c r="L789" i="5"/>
  <c r="O789" i="5" s="1"/>
  <c r="K647" i="5"/>
  <c r="N391" i="5"/>
  <c r="N389" i="5" s="1"/>
  <c r="M347" i="5"/>
  <c r="J327" i="5"/>
  <c r="K327" i="5" s="1"/>
  <c r="I112" i="5"/>
  <c r="K112" i="5" s="1"/>
  <c r="L43" i="5"/>
  <c r="L41" i="5" s="1"/>
  <c r="K359" i="4"/>
  <c r="K379" i="4"/>
  <c r="K823" i="5"/>
  <c r="M805" i="5"/>
  <c r="P805" i="5" s="1"/>
  <c r="N772" i="5"/>
  <c r="N770" i="5" s="1"/>
  <c r="M770" i="5"/>
  <c r="P770" i="5" s="1"/>
  <c r="L754" i="5"/>
  <c r="O754" i="5" s="1"/>
  <c r="K621" i="5"/>
  <c r="K568" i="5"/>
  <c r="N472" i="5"/>
  <c r="N470" i="5" s="1"/>
  <c r="P470" i="5" s="1"/>
  <c r="K466" i="5"/>
  <c r="O320" i="5"/>
  <c r="K297" i="5"/>
  <c r="K287" i="5"/>
  <c r="K260" i="5"/>
  <c r="P264" i="5"/>
  <c r="J226" i="5"/>
  <c r="J180" i="5" s="1"/>
  <c r="I190" i="5"/>
  <c r="K190" i="5" s="1"/>
  <c r="P184" i="5"/>
  <c r="O170" i="5"/>
  <c r="K159" i="5"/>
  <c r="P140" i="5"/>
  <c r="N90" i="5"/>
  <c r="N88" i="5" s="1"/>
  <c r="P71" i="5"/>
  <c r="M69" i="5"/>
  <c r="P69" i="5" s="1"/>
  <c r="N808" i="5"/>
  <c r="M786" i="5"/>
  <c r="P786" i="5" s="1"/>
  <c r="M737" i="5"/>
  <c r="P737" i="5" s="1"/>
  <c r="K577" i="5"/>
  <c r="L547" i="5"/>
  <c r="K537" i="5"/>
  <c r="N526" i="5"/>
  <c r="N504" i="5"/>
  <c r="N502" i="5" s="1"/>
  <c r="L502" i="5"/>
  <c r="O502" i="5" s="1"/>
  <c r="L421" i="5"/>
  <c r="L419" i="5" s="1"/>
  <c r="N404" i="5"/>
  <c r="N402" i="5" s="1"/>
  <c r="L334" i="5"/>
  <c r="O334" i="5" s="1"/>
  <c r="N318" i="5"/>
  <c r="P269" i="5"/>
  <c r="L183" i="5"/>
  <c r="L181" i="5" s="1"/>
  <c r="J164" i="5"/>
  <c r="O140" i="5"/>
  <c r="M90" i="5"/>
  <c r="M88" i="5" s="1"/>
  <c r="L91" i="5"/>
  <c r="O91" i="5" s="1"/>
  <c r="I87" i="5"/>
  <c r="K87" i="5" s="1"/>
  <c r="O25" i="5"/>
  <c r="O350" i="4"/>
  <c r="K828" i="5"/>
  <c r="K822" i="5"/>
  <c r="N739" i="5"/>
  <c r="N737" i="5" s="1"/>
  <c r="N688" i="5"/>
  <c r="L639" i="5"/>
  <c r="O639" i="5" s="1"/>
  <c r="L631" i="5"/>
  <c r="L629" i="5" s="1"/>
  <c r="K576" i="5"/>
  <c r="K561" i="5"/>
  <c r="J537" i="5"/>
  <c r="J522" i="5" s="1"/>
  <c r="M523" i="5"/>
  <c r="P523" i="5" s="1"/>
  <c r="K465" i="5"/>
  <c r="K381" i="5"/>
  <c r="K369" i="5"/>
  <c r="K360" i="5"/>
  <c r="P353" i="5"/>
  <c r="N330" i="5"/>
  <c r="N328" i="5" s="1"/>
  <c r="M317" i="5"/>
  <c r="P317" i="5" s="1"/>
  <c r="O303" i="5"/>
  <c r="M301" i="5"/>
  <c r="P301" i="5" s="1"/>
  <c r="P285" i="5"/>
  <c r="L279" i="5"/>
  <c r="O279" i="5" s="1"/>
  <c r="O269" i="5"/>
  <c r="O166" i="5"/>
  <c r="P137" i="5"/>
  <c r="P67" i="5"/>
  <c r="O61" i="5"/>
  <c r="L56" i="5"/>
  <c r="O56" i="5" s="1"/>
  <c r="P46" i="5"/>
  <c r="L44" i="5"/>
  <c r="N15" i="5"/>
  <c r="O353" i="4"/>
  <c r="K338" i="4"/>
  <c r="N789" i="5"/>
  <c r="N756" i="5"/>
  <c r="N754" i="5" s="1"/>
  <c r="M754" i="5"/>
  <c r="P754" i="5" s="1"/>
  <c r="P555" i="5"/>
  <c r="P445" i="5"/>
  <c r="P397" i="5"/>
  <c r="K355" i="5"/>
  <c r="P350" i="5"/>
  <c r="N348" i="5"/>
  <c r="P348" i="5" s="1"/>
  <c r="P266" i="5"/>
  <c r="L187" i="5"/>
  <c r="O187" i="5" s="1"/>
  <c r="L167" i="5"/>
  <c r="L165" i="5" s="1"/>
  <c r="N151" i="5"/>
  <c r="N149" i="5" s="1"/>
  <c r="P138" i="5"/>
  <c r="O137" i="5"/>
  <c r="N135" i="5"/>
  <c r="O135" i="5" s="1"/>
  <c r="N122" i="5"/>
  <c r="L68" i="5"/>
  <c r="O68" i="5" s="1"/>
  <c r="N29" i="5"/>
  <c r="M15" i="5"/>
  <c r="K800" i="5"/>
  <c r="I785" i="5"/>
  <c r="K785" i="5" s="1"/>
  <c r="L688" i="5"/>
  <c r="O688" i="5" s="1"/>
  <c r="L687" i="5"/>
  <c r="O687" i="5" s="1"/>
  <c r="O690" i="5"/>
  <c r="N632" i="5"/>
  <c r="O634" i="5"/>
  <c r="K594" i="5"/>
  <c r="L555" i="5"/>
  <c r="O555" i="5" s="1"/>
  <c r="O557" i="5"/>
  <c r="K649" i="5"/>
  <c r="P632" i="5"/>
  <c r="N631" i="5"/>
  <c r="N547" i="5"/>
  <c r="N546" i="5"/>
  <c r="N469" i="5"/>
  <c r="O336" i="4"/>
  <c r="O806" i="5"/>
  <c r="I654" i="5"/>
  <c r="K654" i="5" s="1"/>
  <c r="K675" i="5"/>
  <c r="K672" i="5"/>
  <c r="K669" i="5"/>
  <c r="K673" i="5"/>
  <c r="K593" i="5"/>
  <c r="N629" i="5"/>
  <c r="P738" i="5"/>
  <c r="O656" i="5"/>
  <c r="I559" i="5"/>
  <c r="M549" i="5"/>
  <c r="L546" i="5"/>
  <c r="O787" i="5"/>
  <c r="N544" i="5"/>
  <c r="P545" i="5"/>
  <c r="L788" i="5"/>
  <c r="O788" i="5" s="1"/>
  <c r="M655" i="5"/>
  <c r="P655" i="5" s="1"/>
  <c r="P634" i="5"/>
  <c r="I592" i="5"/>
  <c r="K592" i="5" s="1"/>
  <c r="M502" i="5"/>
  <c r="P502" i="5" s="1"/>
  <c r="L469" i="5"/>
  <c r="K460" i="5"/>
  <c r="N447" i="5"/>
  <c r="I434" i="5"/>
  <c r="M421" i="5"/>
  <c r="O397" i="5"/>
  <c r="P336" i="5"/>
  <c r="M334" i="5"/>
  <c r="P334" i="5" s="1"/>
  <c r="P320" i="5"/>
  <c r="L304" i="5"/>
  <c r="O304" i="5" s="1"/>
  <c r="L249" i="5"/>
  <c r="O249" i="5" s="1"/>
  <c r="L228" i="5"/>
  <c r="K174" i="5"/>
  <c r="I164" i="5"/>
  <c r="K164" i="5" s="1"/>
  <c r="K81" i="5"/>
  <c r="I77" i="5"/>
  <c r="O58" i="5"/>
  <c r="N55" i="5"/>
  <c r="N53" i="5" s="1"/>
  <c r="N33" i="5"/>
  <c r="N421" i="5"/>
  <c r="N405" i="5"/>
  <c r="O150" i="5"/>
  <c r="L36" i="5"/>
  <c r="O36" i="5" s="1"/>
  <c r="I233" i="4"/>
  <c r="K233" i="4" s="1"/>
  <c r="L526" i="5"/>
  <c r="O526" i="5" s="1"/>
  <c r="O528" i="5"/>
  <c r="O472" i="5"/>
  <c r="J433" i="5"/>
  <c r="J417" i="5" s="1"/>
  <c r="K417" i="5" s="1"/>
  <c r="P410" i="5"/>
  <c r="K338" i="5"/>
  <c r="N331" i="5"/>
  <c r="O331" i="5" s="1"/>
  <c r="K309" i="5"/>
  <c r="K225" i="5"/>
  <c r="N23" i="5"/>
  <c r="O15" i="5"/>
  <c r="O424" i="5"/>
  <c r="O420" i="5"/>
  <c r="M395" i="5"/>
  <c r="P395" i="5" s="1"/>
  <c r="L657" i="5"/>
  <c r="O657" i="5" s="1"/>
  <c r="M631" i="5"/>
  <c r="P631" i="5" s="1"/>
  <c r="L477" i="5"/>
  <c r="O477" i="5" s="1"/>
  <c r="M469" i="5"/>
  <c r="P472" i="5"/>
  <c r="L470" i="5"/>
  <c r="O470" i="5" s="1"/>
  <c r="N467" i="5"/>
  <c r="M422" i="5"/>
  <c r="M404" i="5"/>
  <c r="P404" i="5" s="1"/>
  <c r="O333" i="5"/>
  <c r="O301" i="5"/>
  <c r="O157" i="5"/>
  <c r="L155" i="5"/>
  <c r="O155" i="5" s="1"/>
  <c r="P154" i="5"/>
  <c r="M152" i="5"/>
  <c r="P152" i="5" s="1"/>
  <c r="I143" i="5"/>
  <c r="K145" i="5"/>
  <c r="J143" i="5"/>
  <c r="J131" i="5" s="1"/>
  <c r="P15" i="5"/>
  <c r="O449" i="5"/>
  <c r="L447" i="5"/>
  <c r="O447" i="5" s="1"/>
  <c r="N422" i="5"/>
  <c r="O353" i="5"/>
  <c r="L351" i="5"/>
  <c r="O351" i="5" s="1"/>
  <c r="P333" i="5"/>
  <c r="M331" i="5"/>
  <c r="P127" i="5"/>
  <c r="M125" i="5"/>
  <c r="P125" i="5" s="1"/>
  <c r="L525" i="5"/>
  <c r="O525" i="5" s="1"/>
  <c r="O503" i="5"/>
  <c r="L33" i="5"/>
  <c r="L31" i="5" s="1"/>
  <c r="L422" i="5"/>
  <c r="P407" i="5"/>
  <c r="P403" i="5"/>
  <c r="O394" i="5"/>
  <c r="L391" i="5"/>
  <c r="O391" i="5" s="1"/>
  <c r="K362" i="5"/>
  <c r="O350" i="5"/>
  <c r="L348" i="5"/>
  <c r="M330" i="5"/>
  <c r="I275" i="5"/>
  <c r="K275" i="5" s="1"/>
  <c r="J288" i="5"/>
  <c r="J275" i="5" s="1"/>
  <c r="K288" i="5"/>
  <c r="O285" i="5"/>
  <c r="L283" i="5"/>
  <c r="O283" i="5" s="1"/>
  <c r="L229" i="5"/>
  <c r="N59" i="5"/>
  <c r="O59" i="5" s="1"/>
  <c r="O54" i="5"/>
  <c r="L404" i="5"/>
  <c r="K374" i="5"/>
  <c r="L330" i="5"/>
  <c r="P303" i="5"/>
  <c r="K244" i="5"/>
  <c r="I233" i="5"/>
  <c r="K233" i="5" s="1"/>
  <c r="O120" i="5"/>
  <c r="P61" i="5"/>
  <c r="M59" i="5"/>
  <c r="P54" i="5"/>
  <c r="L26" i="5"/>
  <c r="L24" i="5" s="1"/>
  <c r="L12" i="5"/>
  <c r="L19" i="5"/>
  <c r="O22" i="5"/>
  <c r="L317" i="5"/>
  <c r="O317" i="5" s="1"/>
  <c r="N300" i="5"/>
  <c r="O154" i="5"/>
  <c r="L152" i="5"/>
  <c r="O152" i="5" s="1"/>
  <c r="L151" i="5"/>
  <c r="O151" i="5" s="1"/>
  <c r="O127" i="5"/>
  <c r="L125" i="5"/>
  <c r="O125" i="5" s="1"/>
  <c r="M121" i="5"/>
  <c r="L90" i="5"/>
  <c r="P58" i="5"/>
  <c r="M56" i="5"/>
  <c r="P56" i="5" s="1"/>
  <c r="O35" i="5"/>
  <c r="M23" i="5"/>
  <c r="M21" i="5" s="1"/>
  <c r="O264" i="5"/>
  <c r="I237" i="5"/>
  <c r="L198" i="5"/>
  <c r="O198" i="5" s="1"/>
  <c r="O124" i="5"/>
  <c r="L122" i="5"/>
  <c r="O122" i="5" s="1"/>
  <c r="L121" i="5"/>
  <c r="K98" i="5"/>
  <c r="I86" i="5"/>
  <c r="K86" i="5" s="1"/>
  <c r="P29" i="5"/>
  <c r="L29" i="5"/>
  <c r="L23" i="5"/>
  <c r="L21" i="5" s="1"/>
  <c r="N12" i="5"/>
  <c r="N263" i="5"/>
  <c r="N261" i="5" s="1"/>
  <c r="K255" i="5"/>
  <c r="O186" i="5"/>
  <c r="I130" i="5"/>
  <c r="K130" i="5" s="1"/>
  <c r="P120" i="5"/>
  <c r="P93" i="5"/>
  <c r="O89" i="5"/>
  <c r="O71" i="5"/>
  <c r="O49" i="5"/>
  <c r="O46" i="5"/>
  <c r="P35" i="5"/>
  <c r="N26" i="5"/>
  <c r="P22" i="5"/>
  <c r="M19" i="5"/>
  <c r="M12" i="5"/>
  <c r="N279" i="5"/>
  <c r="N277" i="5" s="1"/>
  <c r="M263" i="5"/>
  <c r="N238" i="5"/>
  <c r="N227" i="5" s="1"/>
  <c r="N183" i="5"/>
  <c r="N181" i="5" s="1"/>
  <c r="N167" i="5"/>
  <c r="N165" i="5" s="1"/>
  <c r="M134" i="5"/>
  <c r="K115" i="5"/>
  <c r="N68" i="5"/>
  <c r="N66" i="5" s="1"/>
  <c r="N43" i="5"/>
  <c r="N41" i="5" s="1"/>
  <c r="M26" i="5"/>
  <c r="M279" i="5"/>
  <c r="P279" i="5" s="1"/>
  <c r="K271" i="5"/>
  <c r="L263" i="5"/>
  <c r="L261" i="5" s="1"/>
  <c r="K215" i="5"/>
  <c r="M183" i="5"/>
  <c r="M167" i="5"/>
  <c r="L134" i="5"/>
  <c r="N44" i="5"/>
  <c r="M43" i="5"/>
  <c r="M41" i="5" s="1"/>
  <c r="P32" i="5"/>
  <c r="K381" i="3"/>
  <c r="K378" i="3"/>
  <c r="K385" i="4"/>
  <c r="K381" i="4"/>
  <c r="L317" i="4"/>
  <c r="L315" i="4" s="1"/>
  <c r="O315" i="4" s="1"/>
  <c r="L230" i="4"/>
  <c r="O306" i="3"/>
  <c r="O303" i="3"/>
  <c r="O431" i="4"/>
  <c r="K569" i="4"/>
  <c r="P320" i="4"/>
  <c r="M72" i="4"/>
  <c r="P72" i="4" s="1"/>
  <c r="P320" i="3"/>
  <c r="L525" i="4"/>
  <c r="O525" i="4" s="1"/>
  <c r="O154" i="4"/>
  <c r="K145" i="4"/>
  <c r="L55" i="4"/>
  <c r="L53" i="4" s="1"/>
  <c r="P127" i="4"/>
  <c r="K100" i="4"/>
  <c r="K827" i="4"/>
  <c r="K824" i="4"/>
  <c r="O557" i="4"/>
  <c r="L217" i="4"/>
  <c r="O217" i="4" s="1"/>
  <c r="L167" i="3"/>
  <c r="O167" i="3" s="1"/>
  <c r="L546" i="4"/>
  <c r="L544" i="4" s="1"/>
  <c r="O479" i="4"/>
  <c r="L470" i="4"/>
  <c r="O470" i="4" s="1"/>
  <c r="O269" i="4"/>
  <c r="L59" i="4"/>
  <c r="O59" i="4" s="1"/>
  <c r="O472" i="4"/>
  <c r="L321" i="4"/>
  <c r="O321" i="4" s="1"/>
  <c r="O282" i="4"/>
  <c r="L280" i="4"/>
  <c r="O280" i="4" s="1"/>
  <c r="I86" i="4"/>
  <c r="K86" i="4" s="1"/>
  <c r="K98" i="4"/>
  <c r="O285" i="4"/>
  <c r="L283" i="4"/>
  <c r="O283" i="4" s="1"/>
  <c r="L183" i="4"/>
  <c r="L181" i="4" s="1"/>
  <c r="M392" i="4"/>
  <c r="P392" i="4" s="1"/>
  <c r="P394" i="4"/>
  <c r="I190" i="4"/>
  <c r="K190" i="4" s="1"/>
  <c r="K193" i="4"/>
  <c r="P303" i="4"/>
  <c r="M301" i="4"/>
  <c r="P301" i="4" s="1"/>
  <c r="L155" i="4"/>
  <c r="O155" i="4" s="1"/>
  <c r="O157" i="4"/>
  <c r="O140" i="4"/>
  <c r="L138" i="4"/>
  <c r="O138" i="4" s="1"/>
  <c r="M472" i="3"/>
  <c r="M470" i="3" s="1"/>
  <c r="O410" i="4"/>
  <c r="L391" i="4"/>
  <c r="O391" i="4" s="1"/>
  <c r="N263" i="4"/>
  <c r="N261" i="4" s="1"/>
  <c r="L134" i="4"/>
  <c r="O134" i="4" s="1"/>
  <c r="N90" i="4"/>
  <c r="J364" i="4"/>
  <c r="M68" i="4"/>
  <c r="P68" i="4" s="1"/>
  <c r="K99" i="3"/>
  <c r="K822" i="4"/>
  <c r="O791" i="4"/>
  <c r="L395" i="4"/>
  <c r="O395" i="4" s="1"/>
  <c r="I276" i="4"/>
  <c r="K276" i="4" s="1"/>
  <c r="L263" i="4"/>
  <c r="L261" i="4" s="1"/>
  <c r="L90" i="4"/>
  <c r="L88" i="4" s="1"/>
  <c r="K621" i="4"/>
  <c r="K561" i="4"/>
  <c r="K435" i="4"/>
  <c r="L404" i="4"/>
  <c r="O404" i="4" s="1"/>
  <c r="L249" i="4"/>
  <c r="O249" i="4" s="1"/>
  <c r="K244" i="4"/>
  <c r="N183" i="4"/>
  <c r="N167" i="4"/>
  <c r="N300" i="4"/>
  <c r="N298" i="4" s="1"/>
  <c r="O124" i="4"/>
  <c r="O351" i="3"/>
  <c r="L187" i="3"/>
  <c r="O187" i="3" s="1"/>
  <c r="O46" i="3"/>
  <c r="K821" i="4"/>
  <c r="M754" i="4"/>
  <c r="P754" i="4" s="1"/>
  <c r="M737" i="4"/>
  <c r="P737" i="4" s="1"/>
  <c r="J721" i="4"/>
  <c r="O641" i="4"/>
  <c r="K568" i="4"/>
  <c r="L469" i="4"/>
  <c r="L467" i="4" s="1"/>
  <c r="P410" i="4"/>
  <c r="O407" i="4"/>
  <c r="N391" i="4"/>
  <c r="N389" i="4" s="1"/>
  <c r="L392" i="4"/>
  <c r="O392" i="4" s="1"/>
  <c r="K378" i="4"/>
  <c r="K370" i="4"/>
  <c r="O333" i="4"/>
  <c r="P323" i="4"/>
  <c r="M304" i="4"/>
  <c r="P304" i="4" s="1"/>
  <c r="N301" i="4"/>
  <c r="K255" i="4"/>
  <c r="L228" i="4"/>
  <c r="M183" i="4"/>
  <c r="M171" i="4"/>
  <c r="P171" i="4" s="1"/>
  <c r="N168" i="4"/>
  <c r="P168" i="4" s="1"/>
  <c r="L151" i="4"/>
  <c r="O151" i="4" s="1"/>
  <c r="N134" i="4"/>
  <c r="N132" i="4" s="1"/>
  <c r="M90" i="4"/>
  <c r="M88" i="4" s="1"/>
  <c r="L72" i="4"/>
  <c r="O72" i="4" s="1"/>
  <c r="P44" i="4"/>
  <c r="N34" i="4"/>
  <c r="L687" i="3"/>
  <c r="O687" i="3" s="1"/>
  <c r="L231" i="3"/>
  <c r="M805" i="4"/>
  <c r="P805" i="4" s="1"/>
  <c r="M770" i="4"/>
  <c r="P770" i="4" s="1"/>
  <c r="N737" i="4"/>
  <c r="K576" i="4"/>
  <c r="O424" i="4"/>
  <c r="J327" i="4"/>
  <c r="K327" i="4" s="1"/>
  <c r="M330" i="4"/>
  <c r="M328" i="4" s="1"/>
  <c r="N279" i="4"/>
  <c r="N277" i="4" s="1"/>
  <c r="M134" i="4"/>
  <c r="P134" i="4" s="1"/>
  <c r="N121" i="4"/>
  <c r="N119" i="4" s="1"/>
  <c r="N68" i="4"/>
  <c r="N66" i="4" s="1"/>
  <c r="L43" i="4"/>
  <c r="L41" i="4" s="1"/>
  <c r="M15" i="4"/>
  <c r="P15" i="4" s="1"/>
  <c r="O74" i="3"/>
  <c r="M786" i="4"/>
  <c r="P786" i="4" s="1"/>
  <c r="N772" i="4"/>
  <c r="N770" i="4" s="1"/>
  <c r="L737" i="4"/>
  <c r="O737" i="4" s="1"/>
  <c r="J722" i="4"/>
  <c r="L547" i="4"/>
  <c r="O547" i="4" s="1"/>
  <c r="M502" i="4"/>
  <c r="P502" i="4" s="1"/>
  <c r="O449" i="4"/>
  <c r="M404" i="4"/>
  <c r="P404" i="4" s="1"/>
  <c r="M405" i="4"/>
  <c r="P405" i="4" s="1"/>
  <c r="O390" i="4"/>
  <c r="K372" i="4"/>
  <c r="P336" i="4"/>
  <c r="L279" i="4"/>
  <c r="O279" i="4" s="1"/>
  <c r="O266" i="4"/>
  <c r="L264" i="4"/>
  <c r="N227" i="4"/>
  <c r="M167" i="4"/>
  <c r="J143" i="4"/>
  <c r="J131" i="4" s="1"/>
  <c r="O127" i="4"/>
  <c r="L121" i="4"/>
  <c r="O121" i="4" s="1"/>
  <c r="I112" i="4"/>
  <c r="K112" i="4" s="1"/>
  <c r="P61" i="4"/>
  <c r="L526" i="4"/>
  <c r="O526" i="4" s="1"/>
  <c r="O44" i="4"/>
  <c r="K823" i="4"/>
  <c r="L789" i="4"/>
  <c r="O789" i="4" s="1"/>
  <c r="L655" i="4"/>
  <c r="O655" i="4" s="1"/>
  <c r="J593" i="4"/>
  <c r="J592" i="4" s="1"/>
  <c r="O528" i="4"/>
  <c r="L405" i="4"/>
  <c r="O405" i="4" s="1"/>
  <c r="P397" i="4"/>
  <c r="L347" i="4"/>
  <c r="L345" i="4" s="1"/>
  <c r="K340" i="4"/>
  <c r="L318" i="4"/>
  <c r="O318" i="4" s="1"/>
  <c r="I260" i="4"/>
  <c r="K260" i="4" s="1"/>
  <c r="L231" i="4"/>
  <c r="L167" i="4"/>
  <c r="L165" i="4" s="1"/>
  <c r="L68" i="4"/>
  <c r="O68" i="4" s="1"/>
  <c r="P67" i="4"/>
  <c r="K359" i="1"/>
  <c r="P348" i="3"/>
  <c r="L786" i="4"/>
  <c r="O786" i="4" s="1"/>
  <c r="L770" i="4"/>
  <c r="O770" i="4" s="1"/>
  <c r="K672" i="4"/>
  <c r="K560" i="4"/>
  <c r="M549" i="4"/>
  <c r="M546" i="4" s="1"/>
  <c r="P546" i="4" s="1"/>
  <c r="K443" i="4"/>
  <c r="O447" i="4"/>
  <c r="L422" i="4"/>
  <c r="O422" i="4" s="1"/>
  <c r="M317" i="4"/>
  <c r="P317" i="4" s="1"/>
  <c r="I314" i="4"/>
  <c r="K314" i="4" s="1"/>
  <c r="K309" i="4"/>
  <c r="P269" i="4"/>
  <c r="M263" i="4"/>
  <c r="I248" i="4"/>
  <c r="L238" i="4"/>
  <c r="O238" i="4" s="1"/>
  <c r="M187" i="4"/>
  <c r="P187" i="4" s="1"/>
  <c r="N184" i="4"/>
  <c r="P184" i="4" s="1"/>
  <c r="M138" i="4"/>
  <c r="P138" i="4" s="1"/>
  <c r="P124" i="4"/>
  <c r="M94" i="4"/>
  <c r="P94" i="4" s="1"/>
  <c r="N91" i="4"/>
  <c r="P91" i="4" s="1"/>
  <c r="I76" i="4"/>
  <c r="I64" i="4" s="1"/>
  <c r="K64" i="4" s="1"/>
  <c r="L56" i="4"/>
  <c r="L15" i="4"/>
  <c r="O15" i="4" s="1"/>
  <c r="N330" i="4"/>
  <c r="K288" i="4"/>
  <c r="I275" i="4"/>
  <c r="K275" i="4" s="1"/>
  <c r="K823" i="3"/>
  <c r="O479" i="3"/>
  <c r="L404" i="3"/>
  <c r="O404" i="3" s="1"/>
  <c r="O331" i="3"/>
  <c r="O806" i="4"/>
  <c r="K800" i="4"/>
  <c r="P771" i="4"/>
  <c r="O756" i="4"/>
  <c r="N687" i="4"/>
  <c r="N685" i="4" s="1"/>
  <c r="L658" i="4"/>
  <c r="O658" i="4" s="1"/>
  <c r="O656" i="4"/>
  <c r="L631" i="4"/>
  <c r="O631" i="4" s="1"/>
  <c r="M629" i="4"/>
  <c r="P629" i="4" s="1"/>
  <c r="P472" i="4"/>
  <c r="M470" i="4"/>
  <c r="P470" i="4" s="1"/>
  <c r="N404" i="4"/>
  <c r="N402" i="4" s="1"/>
  <c r="K369" i="4"/>
  <c r="N347" i="4"/>
  <c r="N345" i="4" s="1"/>
  <c r="M279" i="4"/>
  <c r="P279" i="4" s="1"/>
  <c r="M23" i="4"/>
  <c r="P282" i="4"/>
  <c r="M280" i="4"/>
  <c r="P280" i="4" s="1"/>
  <c r="N152" i="4"/>
  <c r="N151" i="4"/>
  <c r="N149" i="4" s="1"/>
  <c r="O29" i="4"/>
  <c r="P350" i="4"/>
  <c r="M348" i="4"/>
  <c r="O299" i="4"/>
  <c r="N280" i="4"/>
  <c r="N788" i="4"/>
  <c r="N786" i="4" s="1"/>
  <c r="K651" i="4"/>
  <c r="O634" i="4"/>
  <c r="N632" i="4"/>
  <c r="M523" i="4"/>
  <c r="P523" i="4" s="1"/>
  <c r="N469" i="4"/>
  <c r="I434" i="4"/>
  <c r="J433" i="4"/>
  <c r="K374" i="4"/>
  <c r="K362" i="4"/>
  <c r="K360" i="4"/>
  <c r="M347" i="4"/>
  <c r="M345" i="4" s="1"/>
  <c r="O306" i="4"/>
  <c r="L304" i="4"/>
  <c r="O304" i="4" s="1"/>
  <c r="M300" i="4"/>
  <c r="P300" i="4" s="1"/>
  <c r="P351" i="3"/>
  <c r="O186" i="3"/>
  <c r="O772" i="4"/>
  <c r="P738" i="4"/>
  <c r="P686" i="4"/>
  <c r="N657" i="4"/>
  <c r="N655" i="4" s="1"/>
  <c r="M655" i="4"/>
  <c r="P655" i="4" s="1"/>
  <c r="N629" i="4"/>
  <c r="K593" i="4"/>
  <c r="I592" i="4"/>
  <c r="K592" i="4" s="1"/>
  <c r="N502" i="4"/>
  <c r="P469" i="4"/>
  <c r="N351" i="4"/>
  <c r="O351" i="4" s="1"/>
  <c r="P333" i="4"/>
  <c r="N331" i="4"/>
  <c r="O303" i="4"/>
  <c r="L301" i="4"/>
  <c r="O301" i="4" s="1"/>
  <c r="L300" i="4"/>
  <c r="O300" i="4" s="1"/>
  <c r="O96" i="4"/>
  <c r="L94" i="4"/>
  <c r="O94" i="4" s="1"/>
  <c r="L26" i="4"/>
  <c r="N23" i="4"/>
  <c r="K537" i="4"/>
  <c r="I522" i="4"/>
  <c r="K522" i="4" s="1"/>
  <c r="P350" i="2"/>
  <c r="P545" i="4"/>
  <c r="N505" i="4"/>
  <c r="K460" i="4"/>
  <c r="I442" i="4"/>
  <c r="K442" i="4" s="1"/>
  <c r="K365" i="4"/>
  <c r="I364" i="4"/>
  <c r="P353" i="4"/>
  <c r="M351" i="4"/>
  <c r="P346" i="4"/>
  <c r="P285" i="4"/>
  <c r="M283" i="4"/>
  <c r="P283" i="4" s="1"/>
  <c r="O93" i="4"/>
  <c r="L91" i="4"/>
  <c r="K669" i="4"/>
  <c r="K673" i="4"/>
  <c r="K143" i="4"/>
  <c r="I131" i="4"/>
  <c r="K131" i="4" s="1"/>
  <c r="P353" i="2"/>
  <c r="K287" i="3"/>
  <c r="O49" i="3"/>
  <c r="K828" i="4"/>
  <c r="L687" i="4"/>
  <c r="O687" i="4" s="1"/>
  <c r="O690" i="4"/>
  <c r="K674" i="4"/>
  <c r="O660" i="4"/>
  <c r="I654" i="4"/>
  <c r="K654" i="4" s="1"/>
  <c r="J537" i="4"/>
  <c r="J522" i="4" s="1"/>
  <c r="N523" i="4"/>
  <c r="L502" i="4"/>
  <c r="O502" i="4" s="1"/>
  <c r="O503" i="4"/>
  <c r="M467" i="4"/>
  <c r="P468" i="4"/>
  <c r="N348" i="4"/>
  <c r="O348" i="4" s="1"/>
  <c r="J288" i="4"/>
  <c r="J275" i="4" s="1"/>
  <c r="P266" i="4"/>
  <c r="N264" i="4"/>
  <c r="O262" i="4"/>
  <c r="P54" i="4"/>
  <c r="L12" i="4"/>
  <c r="L19" i="4"/>
  <c r="O22" i="4"/>
  <c r="I559" i="4"/>
  <c r="P555" i="4"/>
  <c r="O549" i="4"/>
  <c r="P503" i="4"/>
  <c r="O394" i="4"/>
  <c r="O320" i="4"/>
  <c r="P299" i="4"/>
  <c r="P278" i="4"/>
  <c r="I216" i="4"/>
  <c r="K216" i="4" s="1"/>
  <c r="L209" i="4"/>
  <c r="O209" i="4" s="1"/>
  <c r="O173" i="4"/>
  <c r="L171" i="4"/>
  <c r="O171" i="4" s="1"/>
  <c r="I77" i="4"/>
  <c r="N546" i="4"/>
  <c r="N544" i="4" s="1"/>
  <c r="O535" i="4"/>
  <c r="K462" i="4"/>
  <c r="O456" i="4"/>
  <c r="M449" i="4"/>
  <c r="N33" i="4"/>
  <c r="N421" i="4"/>
  <c r="N419" i="4" s="1"/>
  <c r="L330" i="4"/>
  <c r="N317" i="4"/>
  <c r="N315" i="4" s="1"/>
  <c r="I197" i="4"/>
  <c r="K197" i="4" s="1"/>
  <c r="K204" i="4"/>
  <c r="O189" i="4"/>
  <c r="L187" i="4"/>
  <c r="O187" i="4" s="1"/>
  <c r="O170" i="4"/>
  <c r="L168" i="4"/>
  <c r="O168" i="4" s="1"/>
  <c r="O58" i="4"/>
  <c r="P58" i="4"/>
  <c r="N56" i="4"/>
  <c r="L446" i="4"/>
  <c r="O446" i="4" s="1"/>
  <c r="N422" i="4"/>
  <c r="M421" i="4"/>
  <c r="M391" i="4"/>
  <c r="P391" i="4" s="1"/>
  <c r="O186" i="4"/>
  <c r="L184" i="4"/>
  <c r="P150" i="4"/>
  <c r="P120" i="4"/>
  <c r="N55" i="4"/>
  <c r="N53" i="4" s="1"/>
  <c r="N26" i="4"/>
  <c r="L36" i="4"/>
  <c r="O36" i="4" s="1"/>
  <c r="L33" i="4"/>
  <c r="L31" i="4" s="1"/>
  <c r="M422" i="4"/>
  <c r="L421" i="4"/>
  <c r="O421" i="4" s="1"/>
  <c r="L198" i="4"/>
  <c r="O198" i="4" s="1"/>
  <c r="M26" i="4"/>
  <c r="O35" i="4"/>
  <c r="P182" i="4"/>
  <c r="I174" i="4"/>
  <c r="M151" i="4"/>
  <c r="P151" i="4" s="1"/>
  <c r="P137" i="4"/>
  <c r="O133" i="4"/>
  <c r="M121" i="4"/>
  <c r="P121" i="4" s="1"/>
  <c r="P89" i="4"/>
  <c r="I87" i="4"/>
  <c r="K87" i="4" s="1"/>
  <c r="P71" i="4"/>
  <c r="O67" i="4"/>
  <c r="M55" i="4"/>
  <c r="P49" i="4"/>
  <c r="P46" i="4"/>
  <c r="O42" i="4"/>
  <c r="L23" i="4"/>
  <c r="L21" i="4" s="1"/>
  <c r="N19" i="4"/>
  <c r="N12" i="4"/>
  <c r="P186" i="4"/>
  <c r="O182" i="4"/>
  <c r="P170" i="4"/>
  <c r="O166" i="4"/>
  <c r="K159" i="4"/>
  <c r="M155" i="4"/>
  <c r="P155" i="4" s="1"/>
  <c r="M152" i="4"/>
  <c r="P152" i="4" s="1"/>
  <c r="O137" i="4"/>
  <c r="P93" i="4"/>
  <c r="O89" i="4"/>
  <c r="O71" i="4"/>
  <c r="O49" i="4"/>
  <c r="O46" i="4"/>
  <c r="P35" i="4"/>
  <c r="P22" i="4"/>
  <c r="M19" i="4"/>
  <c r="M12" i="4"/>
  <c r="I130" i="4"/>
  <c r="K130" i="4" s="1"/>
  <c r="K79" i="4"/>
  <c r="N43" i="4"/>
  <c r="N41" i="4" s="1"/>
  <c r="M43" i="4"/>
  <c r="M34" i="4"/>
  <c r="P34" i="4" s="1"/>
  <c r="M29" i="4"/>
  <c r="M55" i="3"/>
  <c r="M53" i="3" s="1"/>
  <c r="M347" i="1"/>
  <c r="M345" i="1" s="1"/>
  <c r="K369" i="3"/>
  <c r="K360" i="3"/>
  <c r="P353" i="3"/>
  <c r="M68" i="3"/>
  <c r="M66" i="3" s="1"/>
  <c r="K485" i="1"/>
  <c r="J722" i="3"/>
  <c r="O353" i="3"/>
  <c r="P336" i="3"/>
  <c r="P333" i="3"/>
  <c r="O69" i="3"/>
  <c r="K800" i="3"/>
  <c r="K309" i="3"/>
  <c r="M267" i="3"/>
  <c r="P267" i="3" s="1"/>
  <c r="P46" i="3"/>
  <c r="K828" i="3"/>
  <c r="K822" i="3"/>
  <c r="L631" i="3"/>
  <c r="O631" i="3" s="1"/>
  <c r="L533" i="3"/>
  <c r="O533" i="3" s="1"/>
  <c r="P410" i="3"/>
  <c r="K362" i="3"/>
  <c r="K340" i="3"/>
  <c r="O336" i="3"/>
  <c r="N317" i="3"/>
  <c r="N315" i="3" s="1"/>
  <c r="M300" i="3"/>
  <c r="M298" i="3" s="1"/>
  <c r="P285" i="3"/>
  <c r="K224" i="3"/>
  <c r="P184" i="3"/>
  <c r="O173" i="3"/>
  <c r="L43" i="3"/>
  <c r="L41" i="3" s="1"/>
  <c r="K674" i="2"/>
  <c r="O170" i="3"/>
  <c r="K827" i="3"/>
  <c r="K824" i="3"/>
  <c r="K821" i="3"/>
  <c r="L525" i="3"/>
  <c r="L523" i="3" s="1"/>
  <c r="L421" i="3"/>
  <c r="O421" i="3" s="1"/>
  <c r="N391" i="3"/>
  <c r="N389" i="3" s="1"/>
  <c r="K370" i="3"/>
  <c r="L263" i="3"/>
  <c r="L261" i="3" s="1"/>
  <c r="L229" i="3"/>
  <c r="L317" i="2"/>
  <c r="L315" i="2" s="1"/>
  <c r="P269" i="2"/>
  <c r="L217" i="3"/>
  <c r="O217" i="3" s="1"/>
  <c r="P189" i="3"/>
  <c r="M44" i="3"/>
  <c r="L183" i="2"/>
  <c r="L181" i="2" s="1"/>
  <c r="P140" i="2"/>
  <c r="I112" i="2"/>
  <c r="K112" i="2" s="1"/>
  <c r="L754" i="3"/>
  <c r="O754" i="3" s="1"/>
  <c r="K673" i="3"/>
  <c r="L502" i="3"/>
  <c r="O502" i="3" s="1"/>
  <c r="K466" i="3"/>
  <c r="K460" i="3"/>
  <c r="O410" i="3"/>
  <c r="L395" i="3"/>
  <c r="O395" i="3" s="1"/>
  <c r="N392" i="3"/>
  <c r="I364" i="3"/>
  <c r="K359" i="3"/>
  <c r="O350" i="3"/>
  <c r="J327" i="3"/>
  <c r="K327" i="3" s="1"/>
  <c r="O333" i="3"/>
  <c r="N300" i="3"/>
  <c r="O285" i="3"/>
  <c r="K271" i="3"/>
  <c r="K216" i="3"/>
  <c r="L183" i="3"/>
  <c r="L181" i="3" s="1"/>
  <c r="J164" i="3"/>
  <c r="L168" i="3"/>
  <c r="O168" i="3" s="1"/>
  <c r="K159" i="3"/>
  <c r="O140" i="3"/>
  <c r="P137" i="3"/>
  <c r="N134" i="3"/>
  <c r="N132" i="3" s="1"/>
  <c r="I130" i="3"/>
  <c r="K130" i="3" s="1"/>
  <c r="P96" i="3"/>
  <c r="M72" i="3"/>
  <c r="P72" i="3" s="1"/>
  <c r="L68" i="3"/>
  <c r="L66" i="3" s="1"/>
  <c r="P58" i="3"/>
  <c r="N34" i="3"/>
  <c r="M502" i="3"/>
  <c r="P502" i="3" s="1"/>
  <c r="P407" i="3"/>
  <c r="M392" i="3"/>
  <c r="P392" i="3" s="1"/>
  <c r="K379" i="3"/>
  <c r="P331" i="3"/>
  <c r="K325" i="3"/>
  <c r="J288" i="3"/>
  <c r="J275" i="3" s="1"/>
  <c r="K275" i="3" s="1"/>
  <c r="L230" i="3"/>
  <c r="J226" i="3"/>
  <c r="J180" i="3" s="1"/>
  <c r="K204" i="3"/>
  <c r="I174" i="3"/>
  <c r="K174" i="3" s="1"/>
  <c r="N121" i="3"/>
  <c r="N119" i="3" s="1"/>
  <c r="M122" i="3"/>
  <c r="P122" i="3" s="1"/>
  <c r="P93" i="3"/>
  <c r="K360" i="2"/>
  <c r="K827" i="2"/>
  <c r="K824" i="2"/>
  <c r="K821" i="2"/>
  <c r="P755" i="3"/>
  <c r="O738" i="3"/>
  <c r="K465" i="3"/>
  <c r="O407" i="3"/>
  <c r="L405" i="3"/>
  <c r="O405" i="3" s="1"/>
  <c r="O329" i="3"/>
  <c r="L300" i="3"/>
  <c r="I237" i="3"/>
  <c r="K237" i="3" s="1"/>
  <c r="P186" i="3"/>
  <c r="P173" i="3"/>
  <c r="N151" i="3"/>
  <c r="N149" i="3" s="1"/>
  <c r="O152" i="3"/>
  <c r="P135" i="3"/>
  <c r="P71" i="3"/>
  <c r="P49" i="3"/>
  <c r="O690" i="3"/>
  <c r="O634" i="3"/>
  <c r="K569" i="3"/>
  <c r="K560" i="3"/>
  <c r="L469" i="3"/>
  <c r="L467" i="3" s="1"/>
  <c r="O467" i="3" s="1"/>
  <c r="L454" i="3"/>
  <c r="O454" i="3" s="1"/>
  <c r="M424" i="3"/>
  <c r="M422" i="3" s="1"/>
  <c r="P422" i="3" s="1"/>
  <c r="L422" i="3"/>
  <c r="O422" i="3" s="1"/>
  <c r="K385" i="3"/>
  <c r="O348" i="3"/>
  <c r="L330" i="3"/>
  <c r="L328" i="3" s="1"/>
  <c r="L321" i="3"/>
  <c r="O321" i="3" s="1"/>
  <c r="N318" i="3"/>
  <c r="P280" i="3"/>
  <c r="N263" i="3"/>
  <c r="M263" i="3"/>
  <c r="M261" i="3" s="1"/>
  <c r="L238" i="3"/>
  <c r="O238" i="3" s="1"/>
  <c r="P154" i="3"/>
  <c r="O135" i="3"/>
  <c r="M90" i="3"/>
  <c r="M88" i="3" s="1"/>
  <c r="O71" i="3"/>
  <c r="M43" i="3"/>
  <c r="M41" i="3" s="1"/>
  <c r="O301" i="3"/>
  <c r="L421" i="2"/>
  <c r="L419" i="2" s="1"/>
  <c r="L805" i="3"/>
  <c r="O805" i="3" s="1"/>
  <c r="N773" i="3"/>
  <c r="J721" i="3"/>
  <c r="K675" i="3"/>
  <c r="K669" i="3"/>
  <c r="L632" i="3"/>
  <c r="O632" i="3" s="1"/>
  <c r="M317" i="3"/>
  <c r="M315" i="3" s="1"/>
  <c r="K276" i="3"/>
  <c r="P266" i="3"/>
  <c r="L209" i="3"/>
  <c r="O209" i="3" s="1"/>
  <c r="I208" i="3"/>
  <c r="K208" i="3" s="1"/>
  <c r="L198" i="3"/>
  <c r="O198" i="3" s="1"/>
  <c r="P170" i="3"/>
  <c r="O93" i="3"/>
  <c r="M69" i="3"/>
  <c r="P69" i="3" s="1"/>
  <c r="L555" i="2"/>
  <c r="O555" i="2" s="1"/>
  <c r="O557" i="2"/>
  <c r="M549" i="3"/>
  <c r="O549" i="3"/>
  <c r="L547" i="3"/>
  <c r="O547" i="3" s="1"/>
  <c r="L655" i="3"/>
  <c r="O655" i="3" s="1"/>
  <c r="N629" i="3"/>
  <c r="K594" i="3"/>
  <c r="K577" i="3"/>
  <c r="K462" i="3"/>
  <c r="I443" i="3"/>
  <c r="K443" i="3" s="1"/>
  <c r="L36" i="3"/>
  <c r="O36" i="3" s="1"/>
  <c r="N786" i="3"/>
  <c r="N279" i="3"/>
  <c r="N277" i="3" s="1"/>
  <c r="L229" i="1"/>
  <c r="J364" i="2"/>
  <c r="O336" i="2"/>
  <c r="O333" i="2"/>
  <c r="I628" i="3"/>
  <c r="K628" i="3" s="1"/>
  <c r="K651" i="3"/>
  <c r="M629" i="3"/>
  <c r="P629" i="3" s="1"/>
  <c r="P630" i="3"/>
  <c r="K593" i="3"/>
  <c r="J592" i="3"/>
  <c r="K592" i="3" s="1"/>
  <c r="K576" i="3"/>
  <c r="I559" i="3"/>
  <c r="N469" i="3"/>
  <c r="N467" i="3" s="1"/>
  <c r="N470" i="3"/>
  <c r="P397" i="3"/>
  <c r="M395" i="3"/>
  <c r="P395" i="3" s="1"/>
  <c r="M391" i="3"/>
  <c r="I248" i="3"/>
  <c r="K255" i="3"/>
  <c r="I233" i="3"/>
  <c r="K233" i="3" s="1"/>
  <c r="O557" i="3"/>
  <c r="L555" i="3"/>
  <c r="O555" i="3" s="1"/>
  <c r="K438" i="3"/>
  <c r="I434" i="3"/>
  <c r="J364" i="3"/>
  <c r="K365" i="3"/>
  <c r="I233" i="1"/>
  <c r="I237" i="1"/>
  <c r="O320" i="3"/>
  <c r="L318" i="3"/>
  <c r="L317" i="3"/>
  <c r="L315" i="3" s="1"/>
  <c r="O299" i="3"/>
  <c r="O127" i="3"/>
  <c r="L125" i="3"/>
  <c r="O125" i="3" s="1"/>
  <c r="N26" i="3"/>
  <c r="M408" i="2"/>
  <c r="P408" i="2" s="1"/>
  <c r="P410" i="2"/>
  <c r="O660" i="3"/>
  <c r="L658" i="3"/>
  <c r="O658" i="3" s="1"/>
  <c r="M545" i="3"/>
  <c r="P555" i="3"/>
  <c r="L546" i="3"/>
  <c r="L544" i="3" s="1"/>
  <c r="O526" i="3"/>
  <c r="O58" i="3"/>
  <c r="L56" i="3"/>
  <c r="O56" i="3" s="1"/>
  <c r="L23" i="3"/>
  <c r="L55" i="3"/>
  <c r="P12" i="3"/>
  <c r="K385" i="2"/>
  <c r="K381" i="2"/>
  <c r="K378" i="2"/>
  <c r="N807" i="3"/>
  <c r="N805" i="3" s="1"/>
  <c r="O791" i="3"/>
  <c r="N788" i="3"/>
  <c r="L786" i="3"/>
  <c r="O786" i="3" s="1"/>
  <c r="M770" i="3"/>
  <c r="P770" i="3" s="1"/>
  <c r="M737" i="3"/>
  <c r="P737" i="3" s="1"/>
  <c r="N687" i="3"/>
  <c r="N685" i="3" s="1"/>
  <c r="I654" i="3"/>
  <c r="K654" i="3" s="1"/>
  <c r="J537" i="3"/>
  <c r="N504" i="3"/>
  <c r="N502" i="3" s="1"/>
  <c r="M449" i="3"/>
  <c r="O449" i="3"/>
  <c r="L446" i="3"/>
  <c r="O446" i="3" s="1"/>
  <c r="K372" i="3"/>
  <c r="N347" i="3"/>
  <c r="N345" i="3" s="1"/>
  <c r="P282" i="3"/>
  <c r="I143" i="3"/>
  <c r="K145" i="3"/>
  <c r="N9" i="3"/>
  <c r="M263" i="1"/>
  <c r="M261" i="1" s="1"/>
  <c r="I77" i="2"/>
  <c r="I65" i="2" s="1"/>
  <c r="K65" i="2" s="1"/>
  <c r="K674" i="3"/>
  <c r="O656" i="3"/>
  <c r="O641" i="3"/>
  <c r="O545" i="3"/>
  <c r="O528" i="3"/>
  <c r="O472" i="3"/>
  <c r="O431" i="3"/>
  <c r="L429" i="3"/>
  <c r="O429" i="3" s="1"/>
  <c r="N419" i="3"/>
  <c r="L392" i="3"/>
  <c r="O392" i="3" s="1"/>
  <c r="O390" i="3"/>
  <c r="K374" i="3"/>
  <c r="P350" i="3"/>
  <c r="M321" i="3"/>
  <c r="P321" i="3" s="1"/>
  <c r="P306" i="3"/>
  <c r="M304" i="3"/>
  <c r="P304" i="3" s="1"/>
  <c r="O282" i="3"/>
  <c r="O266" i="3"/>
  <c r="L264" i="3"/>
  <c r="O264" i="3" s="1"/>
  <c r="L249" i="3"/>
  <c r="O249" i="3" s="1"/>
  <c r="M152" i="3"/>
  <c r="P152" i="3" s="1"/>
  <c r="O150" i="3"/>
  <c r="O91" i="3"/>
  <c r="N29" i="3"/>
  <c r="N28" i="3" s="1"/>
  <c r="O96" i="3"/>
  <c r="L94" i="3"/>
  <c r="O94" i="3" s="1"/>
  <c r="N59" i="3"/>
  <c r="N55" i="3"/>
  <c r="L26" i="3"/>
  <c r="O29" i="3"/>
  <c r="M29" i="3"/>
  <c r="P32" i="3"/>
  <c r="N525" i="3"/>
  <c r="P323" i="2"/>
  <c r="L209" i="2"/>
  <c r="O209" i="2" s="1"/>
  <c r="P168" i="2"/>
  <c r="L789" i="3"/>
  <c r="O789" i="3" s="1"/>
  <c r="N657" i="3"/>
  <c r="N655" i="3" s="1"/>
  <c r="N546" i="3"/>
  <c r="N544" i="3" s="1"/>
  <c r="M528" i="3"/>
  <c r="O420" i="3"/>
  <c r="L391" i="3"/>
  <c r="O391" i="3" s="1"/>
  <c r="K355" i="3"/>
  <c r="M318" i="3"/>
  <c r="L228" i="3"/>
  <c r="O157" i="3"/>
  <c r="L155" i="3"/>
  <c r="O155" i="3" s="1"/>
  <c r="O154" i="3"/>
  <c r="L151" i="3"/>
  <c r="M151" i="3"/>
  <c r="N138" i="3"/>
  <c r="P140" i="3"/>
  <c r="M125" i="3"/>
  <c r="P125" i="3" s="1"/>
  <c r="L90" i="3"/>
  <c r="O15" i="3"/>
  <c r="O447" i="3"/>
  <c r="L33" i="3"/>
  <c r="O424" i="3"/>
  <c r="O316" i="3"/>
  <c r="P303" i="3"/>
  <c r="M301" i="3"/>
  <c r="P301" i="3" s="1"/>
  <c r="K98" i="3"/>
  <c r="I86" i="3"/>
  <c r="K86" i="3" s="1"/>
  <c r="K78" i="3"/>
  <c r="I76" i="3"/>
  <c r="N23" i="3"/>
  <c r="N21" i="3" s="1"/>
  <c r="K435" i="3"/>
  <c r="J433" i="3"/>
  <c r="N404" i="3"/>
  <c r="N402" i="3" s="1"/>
  <c r="M347" i="3"/>
  <c r="N330" i="3"/>
  <c r="N328" i="3" s="1"/>
  <c r="M279" i="3"/>
  <c r="L267" i="3"/>
  <c r="O267" i="3" s="1"/>
  <c r="K225" i="3"/>
  <c r="O137" i="3"/>
  <c r="L122" i="3"/>
  <c r="O122" i="3" s="1"/>
  <c r="O120" i="3"/>
  <c r="I112" i="3"/>
  <c r="K112" i="3" s="1"/>
  <c r="K100" i="3"/>
  <c r="P61" i="3"/>
  <c r="M59" i="3"/>
  <c r="L12" i="3"/>
  <c r="L19" i="3"/>
  <c r="O22" i="3"/>
  <c r="N446" i="3"/>
  <c r="N444" i="3" s="1"/>
  <c r="M404" i="3"/>
  <c r="L347" i="3"/>
  <c r="M330" i="3"/>
  <c r="L279" i="3"/>
  <c r="M264" i="3"/>
  <c r="P264" i="3" s="1"/>
  <c r="I190" i="3"/>
  <c r="K190" i="3" s="1"/>
  <c r="O184" i="3"/>
  <c r="M155" i="3"/>
  <c r="P155" i="3" s="1"/>
  <c r="J143" i="3"/>
  <c r="J131" i="3" s="1"/>
  <c r="M121" i="3"/>
  <c r="P121" i="3" s="1"/>
  <c r="O61" i="3"/>
  <c r="L59" i="3"/>
  <c r="P54" i="3"/>
  <c r="M34" i="3"/>
  <c r="P34" i="3" s="1"/>
  <c r="N33" i="3"/>
  <c r="N30" i="3" s="1"/>
  <c r="M23" i="3"/>
  <c r="M21" i="3" s="1"/>
  <c r="N19" i="3"/>
  <c r="O262" i="3"/>
  <c r="L121" i="3"/>
  <c r="O121" i="3" s="1"/>
  <c r="P91" i="3"/>
  <c r="I77" i="3"/>
  <c r="M56" i="3"/>
  <c r="P56" i="3" s="1"/>
  <c r="M26" i="3"/>
  <c r="O35" i="3"/>
  <c r="M15" i="3"/>
  <c r="P25" i="3"/>
  <c r="M19" i="3"/>
  <c r="N183" i="3"/>
  <c r="N181" i="3" s="1"/>
  <c r="N167" i="3"/>
  <c r="N165" i="3" s="1"/>
  <c r="M134" i="3"/>
  <c r="K115" i="3"/>
  <c r="N68" i="3"/>
  <c r="N43" i="3"/>
  <c r="M183" i="3"/>
  <c r="M167" i="3"/>
  <c r="L134" i="3"/>
  <c r="N90" i="3"/>
  <c r="N88" i="3" s="1"/>
  <c r="N44" i="3"/>
  <c r="K823" i="2"/>
  <c r="P397" i="2"/>
  <c r="K369" i="2"/>
  <c r="L121" i="2"/>
  <c r="O121" i="2" s="1"/>
  <c r="N229" i="1"/>
  <c r="J233" i="1"/>
  <c r="K568" i="2"/>
  <c r="L43" i="1"/>
  <c r="O407" i="2"/>
  <c r="I76" i="2"/>
  <c r="K76" i="2" s="1"/>
  <c r="N391" i="2"/>
  <c r="N389" i="2" s="1"/>
  <c r="K325" i="2"/>
  <c r="L300" i="2"/>
  <c r="O300" i="2" s="1"/>
  <c r="I434" i="2"/>
  <c r="I418" i="2" s="1"/>
  <c r="K418" i="2" s="1"/>
  <c r="K828" i="2"/>
  <c r="K374" i="2"/>
  <c r="J722" i="2"/>
  <c r="O660" i="2"/>
  <c r="K362" i="2"/>
  <c r="M317" i="2"/>
  <c r="M315" i="2" s="1"/>
  <c r="L228" i="2"/>
  <c r="L151" i="2"/>
  <c r="O127" i="2"/>
  <c r="L43" i="2"/>
  <c r="L41" i="2" s="1"/>
  <c r="K489" i="1"/>
  <c r="K379" i="2"/>
  <c r="L55" i="2"/>
  <c r="L53" i="2" s="1"/>
  <c r="O632" i="2"/>
  <c r="O408" i="2"/>
  <c r="K288" i="2"/>
  <c r="L229" i="2"/>
  <c r="I197" i="2"/>
  <c r="K197" i="2" s="1"/>
  <c r="L171" i="2"/>
  <c r="O171" i="2" s="1"/>
  <c r="O157" i="2"/>
  <c r="N134" i="2"/>
  <c r="N132" i="2" s="1"/>
  <c r="O61" i="2"/>
  <c r="O791" i="2"/>
  <c r="L789" i="2"/>
  <c r="O789" i="2" s="1"/>
  <c r="L657" i="2"/>
  <c r="L655" i="2" s="1"/>
  <c r="O655" i="2" s="1"/>
  <c r="K560" i="2"/>
  <c r="O472" i="2"/>
  <c r="K460" i="2"/>
  <c r="K370" i="2"/>
  <c r="L304" i="2"/>
  <c r="O304" i="2" s="1"/>
  <c r="I275" i="2"/>
  <c r="K275" i="2" s="1"/>
  <c r="I233" i="2"/>
  <c r="K233" i="2" s="1"/>
  <c r="I208" i="2"/>
  <c r="K208" i="2" s="1"/>
  <c r="M183" i="2"/>
  <c r="M181" i="2" s="1"/>
  <c r="M121" i="2"/>
  <c r="P121" i="2" s="1"/>
  <c r="O124" i="2"/>
  <c r="N121" i="2"/>
  <c r="N119" i="2" s="1"/>
  <c r="P91" i="2"/>
  <c r="M134" i="1"/>
  <c r="M132" i="1" s="1"/>
  <c r="N151" i="1"/>
  <c r="N149" i="1" s="1"/>
  <c r="M183" i="1"/>
  <c r="M181" i="1" s="1"/>
  <c r="K293" i="1"/>
  <c r="L391" i="2"/>
  <c r="L389" i="2" s="1"/>
  <c r="P285" i="2"/>
  <c r="P282" i="2"/>
  <c r="L231" i="2"/>
  <c r="K193" i="2"/>
  <c r="N151" i="2"/>
  <c r="N149" i="2" s="1"/>
  <c r="P74" i="2"/>
  <c r="N68" i="2"/>
  <c r="N66" i="2" s="1"/>
  <c r="J237" i="1"/>
  <c r="J226" i="1" s="1"/>
  <c r="J180" i="1" s="1"/>
  <c r="L230" i="1"/>
  <c r="L805" i="2"/>
  <c r="O805" i="2" s="1"/>
  <c r="N786" i="2"/>
  <c r="N756" i="2"/>
  <c r="L754" i="2"/>
  <c r="O754" i="2" s="1"/>
  <c r="M737" i="2"/>
  <c r="P737" i="2" s="1"/>
  <c r="J721" i="2"/>
  <c r="M685" i="2"/>
  <c r="P685" i="2" s="1"/>
  <c r="L631" i="2"/>
  <c r="L629" i="2" s="1"/>
  <c r="O629" i="2" s="1"/>
  <c r="K620" i="2"/>
  <c r="K465" i="2"/>
  <c r="N404" i="2"/>
  <c r="N402" i="2" s="1"/>
  <c r="M391" i="2"/>
  <c r="M389" i="2" s="1"/>
  <c r="M347" i="2"/>
  <c r="J327" i="2"/>
  <c r="K327" i="2" s="1"/>
  <c r="P336" i="2"/>
  <c r="N330" i="2"/>
  <c r="N328" i="2" s="1"/>
  <c r="N331" i="2"/>
  <c r="O331" i="2" s="1"/>
  <c r="O303" i="2"/>
  <c r="O285" i="2"/>
  <c r="K260" i="2"/>
  <c r="L263" i="2"/>
  <c r="L261" i="2" s="1"/>
  <c r="L230" i="2"/>
  <c r="K190" i="2"/>
  <c r="O186" i="2"/>
  <c r="L152" i="2"/>
  <c r="O152" i="2" s="1"/>
  <c r="L138" i="2"/>
  <c r="O138" i="2" s="1"/>
  <c r="L122" i="2"/>
  <c r="O122" i="2" s="1"/>
  <c r="M94" i="2"/>
  <c r="P94" i="2" s="1"/>
  <c r="P49" i="2"/>
  <c r="M15" i="2"/>
  <c r="K225" i="1"/>
  <c r="K649" i="1"/>
  <c r="P787" i="2"/>
  <c r="N688" i="2"/>
  <c r="M634" i="2"/>
  <c r="M631" i="2" s="1"/>
  <c r="P631" i="2" s="1"/>
  <c r="L533" i="2"/>
  <c r="O533" i="2" s="1"/>
  <c r="L477" i="2"/>
  <c r="O477" i="2" s="1"/>
  <c r="K355" i="2"/>
  <c r="L347" i="2"/>
  <c r="L345" i="2" s="1"/>
  <c r="M330" i="2"/>
  <c r="M328" i="2" s="1"/>
  <c r="P328" i="2" s="1"/>
  <c r="M331" i="2"/>
  <c r="L301" i="2"/>
  <c r="O301" i="2" s="1"/>
  <c r="L279" i="2"/>
  <c r="L277" i="2" s="1"/>
  <c r="K224" i="2"/>
  <c r="L217" i="2"/>
  <c r="O217" i="2" s="1"/>
  <c r="I174" i="2"/>
  <c r="I164" i="2" s="1"/>
  <c r="K164" i="2" s="1"/>
  <c r="M171" i="2"/>
  <c r="P171" i="2" s="1"/>
  <c r="K146" i="2"/>
  <c r="P137" i="2"/>
  <c r="N135" i="2"/>
  <c r="K80" i="2"/>
  <c r="L68" i="2"/>
  <c r="L47" i="2"/>
  <c r="O47" i="2" s="1"/>
  <c r="M12" i="2"/>
  <c r="M770" i="2"/>
  <c r="P770" i="2" s="1"/>
  <c r="N739" i="2"/>
  <c r="O524" i="2"/>
  <c r="O410" i="2"/>
  <c r="L404" i="2"/>
  <c r="L402" i="2" s="1"/>
  <c r="O353" i="2"/>
  <c r="O269" i="2"/>
  <c r="K216" i="2"/>
  <c r="L198" i="2"/>
  <c r="O198" i="2" s="1"/>
  <c r="L56" i="2"/>
  <c r="P46" i="2"/>
  <c r="O25" i="2"/>
  <c r="J603" i="1"/>
  <c r="K822" i="2"/>
  <c r="P806" i="2"/>
  <c r="N754" i="2"/>
  <c r="J593" i="2"/>
  <c r="J592" i="2" s="1"/>
  <c r="K592" i="2" s="1"/>
  <c r="K577" i="2"/>
  <c r="L546" i="2"/>
  <c r="O546" i="2" s="1"/>
  <c r="L525" i="2"/>
  <c r="L523" i="2" s="1"/>
  <c r="K359" i="2"/>
  <c r="M321" i="2"/>
  <c r="P321" i="2" s="1"/>
  <c r="M318" i="2"/>
  <c r="P318" i="2" s="1"/>
  <c r="M187" i="2"/>
  <c r="P187" i="2" s="1"/>
  <c r="M184" i="2"/>
  <c r="P184" i="2" s="1"/>
  <c r="M90" i="2"/>
  <c r="M88" i="2" s="1"/>
  <c r="L72" i="2"/>
  <c r="O72" i="2" s="1"/>
  <c r="O58" i="2"/>
  <c r="L44" i="2"/>
  <c r="O44" i="2" s="1"/>
  <c r="N15" i="2"/>
  <c r="N19" i="2"/>
  <c r="N737" i="2"/>
  <c r="K276" i="1"/>
  <c r="K413" i="1"/>
  <c r="K644" i="1"/>
  <c r="L786" i="2"/>
  <c r="O786" i="2" s="1"/>
  <c r="N772" i="2"/>
  <c r="N770" i="2" s="1"/>
  <c r="L770" i="2"/>
  <c r="O770" i="2" s="1"/>
  <c r="M754" i="2"/>
  <c r="P754" i="2" s="1"/>
  <c r="M655" i="2"/>
  <c r="P655" i="2" s="1"/>
  <c r="K621" i="2"/>
  <c r="N504" i="2"/>
  <c r="N502" i="2" s="1"/>
  <c r="L469" i="2"/>
  <c r="O469" i="2" s="1"/>
  <c r="P407" i="2"/>
  <c r="M395" i="2"/>
  <c r="P395" i="2" s="1"/>
  <c r="N392" i="2"/>
  <c r="K372" i="2"/>
  <c r="O350" i="2"/>
  <c r="K338" i="2"/>
  <c r="P333" i="2"/>
  <c r="O282" i="2"/>
  <c r="O264" i="2"/>
  <c r="M167" i="2"/>
  <c r="M165" i="2" s="1"/>
  <c r="L134" i="2"/>
  <c r="O134" i="2" s="1"/>
  <c r="O133" i="2"/>
  <c r="K99" i="2"/>
  <c r="O93" i="2"/>
  <c r="P71" i="2"/>
  <c r="N69" i="2"/>
  <c r="P69" i="2" s="1"/>
  <c r="P44" i="2"/>
  <c r="N29" i="2"/>
  <c r="J559" i="2"/>
  <c r="K576" i="2"/>
  <c r="N629" i="2"/>
  <c r="K593" i="2"/>
  <c r="I417" i="2"/>
  <c r="N23" i="2"/>
  <c r="M43" i="1"/>
  <c r="M41" i="1" s="1"/>
  <c r="N230" i="1"/>
  <c r="J235" i="1"/>
  <c r="N263" i="1"/>
  <c r="N261" i="1" s="1"/>
  <c r="M300" i="1"/>
  <c r="M298" i="1" s="1"/>
  <c r="K325" i="1"/>
  <c r="N391" i="1"/>
  <c r="N389" i="1" s="1"/>
  <c r="K670" i="1"/>
  <c r="O690" i="2"/>
  <c r="L687" i="2"/>
  <c r="O687" i="2" s="1"/>
  <c r="K673" i="2"/>
  <c r="K669" i="2"/>
  <c r="N657" i="2"/>
  <c r="N655" i="2" s="1"/>
  <c r="O634" i="2"/>
  <c r="L547" i="2"/>
  <c r="L454" i="2"/>
  <c r="O454" i="2" s="1"/>
  <c r="I443" i="2"/>
  <c r="K443" i="2" s="1"/>
  <c r="K365" i="2"/>
  <c r="K314" i="2"/>
  <c r="N300" i="2"/>
  <c r="N298" i="2" s="1"/>
  <c r="O189" i="2"/>
  <c r="L187" i="2"/>
  <c r="O187" i="2" s="1"/>
  <c r="P54" i="2"/>
  <c r="M34" i="2"/>
  <c r="P34" i="2" s="1"/>
  <c r="P36" i="2"/>
  <c r="P334" i="1"/>
  <c r="N789" i="2"/>
  <c r="M545" i="2"/>
  <c r="P555" i="2"/>
  <c r="I785" i="2"/>
  <c r="K785" i="2" s="1"/>
  <c r="K672" i="2"/>
  <c r="I628" i="2"/>
  <c r="K628" i="2" s="1"/>
  <c r="K651" i="2"/>
  <c r="N547" i="2"/>
  <c r="N546" i="2"/>
  <c r="M502" i="2"/>
  <c r="P502" i="2" s="1"/>
  <c r="O397" i="2"/>
  <c r="L395" i="2"/>
  <c r="O395" i="2" s="1"/>
  <c r="O266" i="2"/>
  <c r="N263" i="2"/>
  <c r="N261" i="2" s="1"/>
  <c r="K98" i="2"/>
  <c r="I86" i="2"/>
  <c r="K86" i="2" s="1"/>
  <c r="N231" i="1"/>
  <c r="J236" i="1"/>
  <c r="O395" i="1"/>
  <c r="J561" i="1"/>
  <c r="K561" i="1" s="1"/>
  <c r="J569" i="1"/>
  <c r="K569" i="1" s="1"/>
  <c r="O806" i="2"/>
  <c r="O787" i="2"/>
  <c r="P771" i="2"/>
  <c r="P755" i="2"/>
  <c r="P738" i="2"/>
  <c r="O686" i="2"/>
  <c r="I654" i="2"/>
  <c r="K654" i="2" s="1"/>
  <c r="M549" i="2"/>
  <c r="O549" i="2"/>
  <c r="O394" i="2"/>
  <c r="L392" i="2"/>
  <c r="O392" i="2" s="1"/>
  <c r="P299" i="2"/>
  <c r="P154" i="2"/>
  <c r="M152" i="2"/>
  <c r="P152" i="2" s="1"/>
  <c r="M151" i="2"/>
  <c r="M149" i="2" s="1"/>
  <c r="M23" i="2"/>
  <c r="P49" i="1"/>
  <c r="J76" i="1"/>
  <c r="J64" i="1" s="1"/>
  <c r="M167" i="1"/>
  <c r="M165" i="1" s="1"/>
  <c r="I248" i="1"/>
  <c r="K248" i="1" s="1"/>
  <c r="K290" i="1"/>
  <c r="K294" i="1"/>
  <c r="O641" i="2"/>
  <c r="J594" i="2"/>
  <c r="K594" i="2" s="1"/>
  <c r="J537" i="2"/>
  <c r="L446" i="2"/>
  <c r="O446" i="2" s="1"/>
  <c r="O431" i="2"/>
  <c r="L36" i="2"/>
  <c r="O36" i="2" s="1"/>
  <c r="L429" i="2"/>
  <c r="O429" i="2" s="1"/>
  <c r="L33" i="2"/>
  <c r="L31" i="2" s="1"/>
  <c r="M424" i="2"/>
  <c r="O424" i="2"/>
  <c r="L422" i="2"/>
  <c r="O422" i="2" s="1"/>
  <c r="K340" i="2"/>
  <c r="O323" i="2"/>
  <c r="L321" i="2"/>
  <c r="O321" i="2" s="1"/>
  <c r="O320" i="2"/>
  <c r="L318" i="2"/>
  <c r="O318" i="2" s="1"/>
  <c r="O15" i="2"/>
  <c r="P323" i="1"/>
  <c r="K360" i="1"/>
  <c r="K435" i="1"/>
  <c r="K439" i="1"/>
  <c r="K483" i="1"/>
  <c r="N544" i="2"/>
  <c r="P278" i="2"/>
  <c r="K145" i="2"/>
  <c r="I143" i="2"/>
  <c r="P61" i="2"/>
  <c r="M59" i="2"/>
  <c r="P59" i="2" s="1"/>
  <c r="M55" i="2"/>
  <c r="N347" i="2"/>
  <c r="M300" i="2"/>
  <c r="P300" i="2" s="1"/>
  <c r="N279" i="2"/>
  <c r="N277" i="2" s="1"/>
  <c r="P264" i="2"/>
  <c r="P262" i="2"/>
  <c r="L238" i="2"/>
  <c r="J143" i="2"/>
  <c r="J131" i="2" s="1"/>
  <c r="N56" i="2"/>
  <c r="M9" i="2"/>
  <c r="P12" i="2"/>
  <c r="O545" i="2"/>
  <c r="O528" i="2"/>
  <c r="K435" i="2"/>
  <c r="J433" i="2"/>
  <c r="J417" i="2" s="1"/>
  <c r="O420" i="2"/>
  <c r="P394" i="2"/>
  <c r="O390" i="2"/>
  <c r="N351" i="2"/>
  <c r="N348" i="2"/>
  <c r="P320" i="2"/>
  <c r="K309" i="2"/>
  <c r="M304" i="2"/>
  <c r="P304" i="2" s="1"/>
  <c r="M301" i="2"/>
  <c r="P301" i="2" s="1"/>
  <c r="M279" i="2"/>
  <c r="N280" i="2"/>
  <c r="I276" i="2"/>
  <c r="K276" i="2" s="1"/>
  <c r="L249" i="2"/>
  <c r="O249" i="2" s="1"/>
  <c r="I248" i="2"/>
  <c r="K248" i="2" s="1"/>
  <c r="L168" i="2"/>
  <c r="O168" i="2" s="1"/>
  <c r="P127" i="2"/>
  <c r="M125" i="2"/>
  <c r="P125" i="2" s="1"/>
  <c r="K100" i="2"/>
  <c r="L91" i="2"/>
  <c r="O91" i="2" s="1"/>
  <c r="P58" i="2"/>
  <c r="M56" i="2"/>
  <c r="L12" i="2"/>
  <c r="L19" i="2"/>
  <c r="O22" i="2"/>
  <c r="N525" i="2"/>
  <c r="N523" i="2" s="1"/>
  <c r="M472" i="2"/>
  <c r="O449" i="2"/>
  <c r="N446" i="2"/>
  <c r="N444" i="2" s="1"/>
  <c r="M404" i="2"/>
  <c r="L167" i="2"/>
  <c r="P157" i="2"/>
  <c r="M155" i="2"/>
  <c r="P155" i="2" s="1"/>
  <c r="P120" i="2"/>
  <c r="L26" i="2"/>
  <c r="L24" i="2" s="1"/>
  <c r="O96" i="2"/>
  <c r="L90" i="2"/>
  <c r="N55" i="2"/>
  <c r="N53" i="2" s="1"/>
  <c r="P15" i="2"/>
  <c r="M528" i="2"/>
  <c r="N33" i="2"/>
  <c r="N421" i="2"/>
  <c r="I364" i="2"/>
  <c r="L330" i="2"/>
  <c r="N317" i="2"/>
  <c r="M263" i="2"/>
  <c r="M261" i="2" s="1"/>
  <c r="P150" i="2"/>
  <c r="N26" i="2"/>
  <c r="N16" i="2" s="1"/>
  <c r="N14" i="2" s="1"/>
  <c r="O35" i="2"/>
  <c r="P266" i="2"/>
  <c r="I237" i="2"/>
  <c r="K244" i="2"/>
  <c r="L184" i="2"/>
  <c r="O184" i="2" s="1"/>
  <c r="P124" i="2"/>
  <c r="M122" i="2"/>
  <c r="P122" i="2" s="1"/>
  <c r="K87" i="2"/>
  <c r="L29" i="2"/>
  <c r="L23" i="2"/>
  <c r="N12" i="2"/>
  <c r="K271" i="2"/>
  <c r="P186" i="2"/>
  <c r="P170" i="2"/>
  <c r="K159" i="2"/>
  <c r="K144" i="2"/>
  <c r="O137" i="2"/>
  <c r="P93" i="2"/>
  <c r="O71" i="2"/>
  <c r="O46" i="2"/>
  <c r="P35" i="2"/>
  <c r="P22" i="2"/>
  <c r="M19" i="2"/>
  <c r="K115" i="2"/>
  <c r="K79" i="2"/>
  <c r="N43" i="2"/>
  <c r="N41" i="2" s="1"/>
  <c r="M26" i="2"/>
  <c r="N183" i="2"/>
  <c r="N181" i="2" s="1"/>
  <c r="N167" i="2"/>
  <c r="N165" i="2" s="1"/>
  <c r="M134" i="2"/>
  <c r="P134" i="2" s="1"/>
  <c r="N90" i="2"/>
  <c r="N88" i="2" s="1"/>
  <c r="M68" i="2"/>
  <c r="M43" i="2"/>
  <c r="M29" i="2"/>
  <c r="J722" i="1"/>
  <c r="K722" i="1" s="1"/>
  <c r="N249" i="1"/>
  <c r="M447" i="1"/>
  <c r="K462" i="1"/>
  <c r="M469" i="1"/>
  <c r="M467" i="1" s="1"/>
  <c r="K541" i="1"/>
  <c r="M72" i="1"/>
  <c r="P72" i="1" s="1"/>
  <c r="K111" i="1"/>
  <c r="M121" i="1"/>
  <c r="M119" i="1" s="1"/>
  <c r="O189" i="1"/>
  <c r="J194" i="1"/>
  <c r="K271" i="1"/>
  <c r="K381" i="1"/>
  <c r="L392" i="1"/>
  <c r="O392" i="1" s="1"/>
  <c r="K726" i="1"/>
  <c r="K144" i="1"/>
  <c r="K542" i="1"/>
  <c r="N43" i="1"/>
  <c r="N41" i="1" s="1"/>
  <c r="O71" i="1"/>
  <c r="K78" i="1"/>
  <c r="K81" i="1"/>
  <c r="K84" i="1"/>
  <c r="L209" i="1"/>
  <c r="K310" i="1"/>
  <c r="P350" i="1"/>
  <c r="P353" i="1"/>
  <c r="L404" i="1"/>
  <c r="L402" i="1" s="1"/>
  <c r="K498" i="1"/>
  <c r="L90" i="1"/>
  <c r="L88" i="1" s="1"/>
  <c r="N209" i="1"/>
  <c r="O410" i="1"/>
  <c r="K539" i="1"/>
  <c r="J675" i="1"/>
  <c r="J669" i="1" s="1"/>
  <c r="J654" i="1" s="1"/>
  <c r="K723" i="1"/>
  <c r="L23" i="1"/>
  <c r="L21" i="1" s="1"/>
  <c r="N300" i="1"/>
  <c r="N298" i="1" s="1"/>
  <c r="M348" i="1"/>
  <c r="P348" i="1" s="1"/>
  <c r="N347" i="1"/>
  <c r="N345" i="1" s="1"/>
  <c r="K362" i="1"/>
  <c r="K379" i="1"/>
  <c r="P408" i="1"/>
  <c r="N449" i="1"/>
  <c r="O449" i="1" s="1"/>
  <c r="K492" i="1"/>
  <c r="K671" i="1"/>
  <c r="K823" i="1"/>
  <c r="K826" i="1"/>
  <c r="O173" i="1"/>
  <c r="L231" i="1"/>
  <c r="L47" i="1"/>
  <c r="O47" i="1" s="1"/>
  <c r="L68" i="1"/>
  <c r="L66" i="1" s="1"/>
  <c r="M94" i="1"/>
  <c r="P94" i="1" s="1"/>
  <c r="K103" i="1"/>
  <c r="L121" i="1"/>
  <c r="L119" i="1" s="1"/>
  <c r="P140" i="1"/>
  <c r="K145" i="1"/>
  <c r="K208" i="1"/>
  <c r="N317" i="1"/>
  <c r="N315" i="1" s="1"/>
  <c r="L405" i="1"/>
  <c r="O405" i="1" s="1"/>
  <c r="P410" i="1"/>
  <c r="M658" i="1"/>
  <c r="N660" i="1"/>
  <c r="N658" i="1" s="1"/>
  <c r="K725" i="1"/>
  <c r="O59" i="1"/>
  <c r="K82" i="1"/>
  <c r="L217" i="1"/>
  <c r="K223" i="1"/>
  <c r="K244" i="1"/>
  <c r="K291" i="1"/>
  <c r="M330" i="1"/>
  <c r="M328" i="1" s="1"/>
  <c r="K369" i="1"/>
  <c r="M391" i="1"/>
  <c r="N549" i="1"/>
  <c r="N546" i="1" s="1"/>
  <c r="N544" i="1" s="1"/>
  <c r="J583" i="1"/>
  <c r="J577" i="1" s="1"/>
  <c r="K577" i="1" s="1"/>
  <c r="M631" i="1"/>
  <c r="M629" i="1" s="1"/>
  <c r="J701" i="1"/>
  <c r="K701" i="1" s="1"/>
  <c r="J729" i="1"/>
  <c r="P61" i="1"/>
  <c r="K214" i="1"/>
  <c r="N217" i="1"/>
  <c r="I260" i="1"/>
  <c r="K260" i="1" s="1"/>
  <c r="K287" i="1"/>
  <c r="O303" i="1"/>
  <c r="L317" i="1"/>
  <c r="L315" i="1" s="1"/>
  <c r="N424" i="1"/>
  <c r="N422" i="1" s="1"/>
  <c r="O422" i="1" s="1"/>
  <c r="K437" i="1"/>
  <c r="K440" i="1"/>
  <c r="J582" i="1"/>
  <c r="J576" i="1" s="1"/>
  <c r="L688" i="1"/>
  <c r="J708" i="1"/>
  <c r="K822" i="1"/>
  <c r="K825" i="1"/>
  <c r="K828" i="1"/>
  <c r="O140" i="1"/>
  <c r="L138" i="1"/>
  <c r="O138" i="1" s="1"/>
  <c r="O285" i="1"/>
  <c r="L279" i="1"/>
  <c r="L283" i="1"/>
  <c r="O283" i="1" s="1"/>
  <c r="N330" i="1"/>
  <c r="N328" i="1" s="1"/>
  <c r="O333" i="1"/>
  <c r="K115" i="1"/>
  <c r="I112" i="1"/>
  <c r="J365" i="1"/>
  <c r="K365" i="1" s="1"/>
  <c r="K372" i="1"/>
  <c r="P32" i="1"/>
  <c r="O46" i="1"/>
  <c r="M44" i="1"/>
  <c r="M23" i="1"/>
  <c r="P58" i="1"/>
  <c r="M55" i="1"/>
  <c r="M53" i="1" s="1"/>
  <c r="M56" i="1"/>
  <c r="P56" i="1" s="1"/>
  <c r="M68" i="1"/>
  <c r="M66" i="1" s="1"/>
  <c r="P137" i="1"/>
  <c r="M135" i="1"/>
  <c r="P135" i="1" s="1"/>
  <c r="N331" i="1"/>
  <c r="P331" i="1" s="1"/>
  <c r="I388" i="1"/>
  <c r="K388" i="1" s="1"/>
  <c r="K400" i="1"/>
  <c r="M90" i="1"/>
  <c r="M88" i="1" s="1"/>
  <c r="L33" i="1"/>
  <c r="L526" i="1"/>
  <c r="M122" i="1"/>
  <c r="P122" i="1" s="1"/>
  <c r="P124" i="1"/>
  <c r="M152" i="1"/>
  <c r="M151" i="1"/>
  <c r="P154" i="1"/>
  <c r="J190" i="1"/>
  <c r="K190" i="1" s="1"/>
  <c r="K193" i="1"/>
  <c r="K247" i="1"/>
  <c r="I236" i="1"/>
  <c r="L249" i="1"/>
  <c r="O249" i="1" s="1"/>
  <c r="L228" i="1"/>
  <c r="N279" i="1"/>
  <c r="N277" i="1" s="1"/>
  <c r="O282" i="1"/>
  <c r="N280" i="1"/>
  <c r="O280" i="1" s="1"/>
  <c r="M317" i="1"/>
  <c r="P320" i="1"/>
  <c r="M318" i="1"/>
  <c r="P318" i="1" s="1"/>
  <c r="L55" i="1"/>
  <c r="L53" i="1" s="1"/>
  <c r="J130" i="1"/>
  <c r="K130" i="1" s="1"/>
  <c r="K146" i="1"/>
  <c r="N238" i="1"/>
  <c r="N228" i="1"/>
  <c r="O269" i="1"/>
  <c r="L263" i="1"/>
  <c r="L267" i="1"/>
  <c r="O267" i="1" s="1"/>
  <c r="K338" i="1"/>
  <c r="J327" i="1"/>
  <c r="K327" i="1" s="1"/>
  <c r="M404" i="1"/>
  <c r="M402" i="1" s="1"/>
  <c r="P407" i="1"/>
  <c r="M405" i="1"/>
  <c r="P405" i="1" s="1"/>
  <c r="I442" i="1"/>
  <c r="K442" i="1" s="1"/>
  <c r="K460" i="1"/>
  <c r="L330" i="1"/>
  <c r="L631" i="1"/>
  <c r="L629" i="1" s="1"/>
  <c r="K699" i="1"/>
  <c r="M26" i="1"/>
  <c r="M16" i="1" s="1"/>
  <c r="L26" i="1"/>
  <c r="L72" i="1"/>
  <c r="O72" i="1" s="1"/>
  <c r="L94" i="1"/>
  <c r="O94" i="1" s="1"/>
  <c r="K104" i="1"/>
  <c r="K109" i="1"/>
  <c r="K113" i="1"/>
  <c r="L122" i="1"/>
  <c r="O122" i="1" s="1"/>
  <c r="N152" i="1"/>
  <c r="O152" i="1" s="1"/>
  <c r="O191" i="1"/>
  <c r="N198" i="1"/>
  <c r="K215" i="1"/>
  <c r="I235" i="1"/>
  <c r="K235" i="1" s="1"/>
  <c r="K288" i="1"/>
  <c r="N301" i="1"/>
  <c r="O301" i="1" s="1"/>
  <c r="I314" i="1"/>
  <c r="K314" i="1" s="1"/>
  <c r="P336" i="1"/>
  <c r="K340" i="1"/>
  <c r="O348" i="1"/>
  <c r="O353" i="1"/>
  <c r="K370" i="1"/>
  <c r="K378" i="1"/>
  <c r="K385" i="1"/>
  <c r="M395" i="1"/>
  <c r="P395" i="1" s="1"/>
  <c r="K438" i="1"/>
  <c r="K540" i="1"/>
  <c r="J596" i="1"/>
  <c r="J604" i="1"/>
  <c r="N690" i="1"/>
  <c r="O690" i="1" s="1"/>
  <c r="K700" i="1"/>
  <c r="K821" i="1"/>
  <c r="K824" i="1"/>
  <c r="K827" i="1"/>
  <c r="N121" i="1"/>
  <c r="K312" i="1"/>
  <c r="N472" i="1"/>
  <c r="N470" i="1" s="1"/>
  <c r="O470" i="1" s="1"/>
  <c r="M59" i="1"/>
  <c r="P59" i="1" s="1"/>
  <c r="J112" i="1"/>
  <c r="M138" i="1"/>
  <c r="P138" i="1" s="1"/>
  <c r="L151" i="1"/>
  <c r="L155" i="1"/>
  <c r="O155" i="1" s="1"/>
  <c r="L183" i="1"/>
  <c r="L181" i="1" s="1"/>
  <c r="O186" i="1"/>
  <c r="L198" i="1"/>
  <c r="L300" i="1"/>
  <c r="L304" i="1"/>
  <c r="O304" i="1" s="1"/>
  <c r="M321" i="1"/>
  <c r="P321" i="1" s="1"/>
  <c r="P397" i="1"/>
  <c r="J434" i="1"/>
  <c r="J418" i="1" s="1"/>
  <c r="J620" i="1"/>
  <c r="K620" i="1" s="1"/>
  <c r="N634" i="1"/>
  <c r="N631" i="1" s="1"/>
  <c r="N134" i="1"/>
  <c r="N132" i="1" s="1"/>
  <c r="K275" i="1"/>
  <c r="N351" i="1"/>
  <c r="O351" i="1" s="1"/>
  <c r="L36" i="1"/>
  <c r="O36" i="1" s="1"/>
  <c r="O74" i="1"/>
  <c r="J77" i="1"/>
  <c r="J65" i="1" s="1"/>
  <c r="O96" i="1"/>
  <c r="K102" i="1"/>
  <c r="K106" i="1"/>
  <c r="K110" i="1"/>
  <c r="K114" i="1"/>
  <c r="L125" i="1"/>
  <c r="O127" i="1"/>
  <c r="I143" i="1"/>
  <c r="K143" i="1" s="1"/>
  <c r="P157" i="1"/>
  <c r="O170" i="1"/>
  <c r="O336" i="1"/>
  <c r="K355" i="1"/>
  <c r="L408" i="1"/>
  <c r="O408" i="1" s="1"/>
  <c r="M421" i="1"/>
  <c r="M419" i="1" s="1"/>
  <c r="I443" i="1"/>
  <c r="K443" i="1" s="1"/>
  <c r="L446" i="1"/>
  <c r="L444" i="1" s="1"/>
  <c r="L454" i="1"/>
  <c r="O454" i="1" s="1"/>
  <c r="L469" i="1"/>
  <c r="L467" i="1" s="1"/>
  <c r="O479" i="1"/>
  <c r="J465" i="1"/>
  <c r="K465" i="1" s="1"/>
  <c r="J466" i="1"/>
  <c r="K466" i="1" s="1"/>
  <c r="L525" i="1"/>
  <c r="L523" i="1" s="1"/>
  <c r="K643" i="1"/>
  <c r="I785" i="1"/>
  <c r="K785" i="1" s="1"/>
  <c r="K99" i="1"/>
  <c r="O641" i="1"/>
  <c r="J679" i="1"/>
  <c r="J678" i="1" s="1"/>
  <c r="O58" i="1"/>
  <c r="K80" i="1"/>
  <c r="K83" i="1"/>
  <c r="O137" i="1"/>
  <c r="O154" i="1"/>
  <c r="K159" i="1"/>
  <c r="L167" i="1"/>
  <c r="L165" i="1" s="1"/>
  <c r="L238" i="1"/>
  <c r="O266" i="1"/>
  <c r="K311" i="1"/>
  <c r="P333" i="1"/>
  <c r="L347" i="1"/>
  <c r="O350" i="1"/>
  <c r="N404" i="1"/>
  <c r="N402" i="1" s="1"/>
  <c r="K487" i="1"/>
  <c r="L533" i="1"/>
  <c r="O533" i="1" s="1"/>
  <c r="O535" i="1"/>
  <c r="J560" i="1"/>
  <c r="K560" i="1" s="1"/>
  <c r="O12" i="1"/>
  <c r="L9" i="1"/>
  <c r="N91" i="1"/>
  <c r="P93" i="1"/>
  <c r="I148" i="1"/>
  <c r="K148" i="1" s="1"/>
  <c r="J522" i="1"/>
  <c r="K522" i="1" s="1"/>
  <c r="K537" i="1"/>
  <c r="I76" i="1"/>
  <c r="K79" i="1"/>
  <c r="K86" i="1"/>
  <c r="O93" i="1"/>
  <c r="K98" i="1"/>
  <c r="K107" i="1"/>
  <c r="N125" i="1"/>
  <c r="P125" i="1" s="1"/>
  <c r="P127" i="1"/>
  <c r="L134" i="1"/>
  <c r="I174" i="1"/>
  <c r="K176" i="1"/>
  <c r="N69" i="1"/>
  <c r="P71" i="1"/>
  <c r="L44" i="1"/>
  <c r="N68" i="1"/>
  <c r="N66" i="1" s="1"/>
  <c r="N167" i="1"/>
  <c r="M168" i="1"/>
  <c r="P170" i="1"/>
  <c r="O278" i="1"/>
  <c r="M280" i="1"/>
  <c r="P282" i="1"/>
  <c r="M279" i="1"/>
  <c r="N90" i="1"/>
  <c r="N88" i="1" s="1"/>
  <c r="N168" i="1"/>
  <c r="O168" i="1" s="1"/>
  <c r="O686" i="1"/>
  <c r="L685" i="1"/>
  <c r="N184" i="1"/>
  <c r="O184" i="1" s="1"/>
  <c r="N183" i="1"/>
  <c r="N55" i="1"/>
  <c r="J100" i="1"/>
  <c r="K100" i="1" s="1"/>
  <c r="M15" i="1"/>
  <c r="N26" i="1"/>
  <c r="M29" i="1"/>
  <c r="L56" i="1"/>
  <c r="O56" i="1" s="1"/>
  <c r="I77" i="1"/>
  <c r="I87" i="1"/>
  <c r="K87" i="1" s="1"/>
  <c r="O262" i="1"/>
  <c r="M264" i="1"/>
  <c r="P264" i="1" s="1"/>
  <c r="P266" i="1"/>
  <c r="N23" i="1"/>
  <c r="N44" i="1"/>
  <c r="P46" i="1"/>
  <c r="O61" i="1"/>
  <c r="K116" i="1"/>
  <c r="L135" i="1"/>
  <c r="O135" i="1" s="1"/>
  <c r="P166" i="1"/>
  <c r="M171" i="1"/>
  <c r="P171" i="1" s="1"/>
  <c r="P173" i="1"/>
  <c r="O264" i="1"/>
  <c r="M267" i="1"/>
  <c r="P267" i="1" s="1"/>
  <c r="P269" i="1"/>
  <c r="O299" i="1"/>
  <c r="L318" i="1"/>
  <c r="O318" i="1" s="1"/>
  <c r="O320" i="1"/>
  <c r="I197" i="1"/>
  <c r="K197" i="1" s="1"/>
  <c r="K204" i="1"/>
  <c r="M283" i="1"/>
  <c r="P283" i="1" s="1"/>
  <c r="P285" i="1"/>
  <c r="M301" i="1"/>
  <c r="P303" i="1"/>
  <c r="L321" i="1"/>
  <c r="O321" i="1" s="1"/>
  <c r="O323" i="1"/>
  <c r="J297" i="1"/>
  <c r="K297" i="1" s="1"/>
  <c r="K309" i="1"/>
  <c r="O397" i="1"/>
  <c r="L391" i="1"/>
  <c r="P403" i="1"/>
  <c r="P445" i="1"/>
  <c r="M444" i="1"/>
  <c r="M184" i="1"/>
  <c r="P186" i="1"/>
  <c r="K224" i="1"/>
  <c r="I216" i="1"/>
  <c r="K216" i="1" s="1"/>
  <c r="M304" i="1"/>
  <c r="P304" i="1" s="1"/>
  <c r="P306" i="1"/>
  <c r="I364" i="1"/>
  <c r="L502" i="1"/>
  <c r="O502" i="1" s="1"/>
  <c r="O504" i="1"/>
  <c r="N528" i="1"/>
  <c r="P189" i="1"/>
  <c r="O329" i="1"/>
  <c r="O346" i="1"/>
  <c r="M392" i="1"/>
  <c r="P392" i="1" s="1"/>
  <c r="K412" i="1"/>
  <c r="L429" i="1"/>
  <c r="O429" i="1" s="1"/>
  <c r="I434" i="1"/>
  <c r="I654" i="1"/>
  <c r="K672" i="1"/>
  <c r="K674" i="1"/>
  <c r="N737" i="1"/>
  <c r="N740" i="1"/>
  <c r="P756" i="1"/>
  <c r="M754" i="1"/>
  <c r="P754" i="1" s="1"/>
  <c r="N770" i="1"/>
  <c r="N773" i="1"/>
  <c r="J374" i="1"/>
  <c r="K374" i="1" s="1"/>
  <c r="K538" i="1"/>
  <c r="I543" i="1"/>
  <c r="K651" i="1"/>
  <c r="L655" i="1"/>
  <c r="O755" i="1"/>
  <c r="L754" i="1"/>
  <c r="O754" i="1" s="1"/>
  <c r="L788" i="1"/>
  <c r="P806" i="1"/>
  <c r="M805" i="1"/>
  <c r="P805" i="1" s="1"/>
  <c r="M547" i="1"/>
  <c r="K647" i="1"/>
  <c r="L658" i="1"/>
  <c r="K728" i="1"/>
  <c r="K401" i="1"/>
  <c r="I433" i="1"/>
  <c r="K628" i="1"/>
  <c r="P739" i="1"/>
  <c r="M737" i="1"/>
  <c r="P737" i="1" s="1"/>
  <c r="P772" i="1"/>
  <c r="M770" i="1"/>
  <c r="P770" i="1" s="1"/>
  <c r="L421" i="1"/>
  <c r="K495" i="1"/>
  <c r="M502" i="1"/>
  <c r="P502" i="1" s="1"/>
  <c r="M546" i="1"/>
  <c r="O557" i="1"/>
  <c r="L546" i="1"/>
  <c r="L555" i="1"/>
  <c r="O555" i="1" s="1"/>
  <c r="J568" i="1"/>
  <c r="K568" i="1" s="1"/>
  <c r="J595" i="1"/>
  <c r="J621" i="1"/>
  <c r="K621" i="1" s="1"/>
  <c r="L632" i="1"/>
  <c r="P656" i="1"/>
  <c r="M655" i="1"/>
  <c r="K673" i="1"/>
  <c r="M687" i="1"/>
  <c r="O738" i="1"/>
  <c r="L737" i="1"/>
  <c r="O737" i="1" s="1"/>
  <c r="O771" i="1"/>
  <c r="L770" i="1"/>
  <c r="O770" i="1" s="1"/>
  <c r="L789" i="1"/>
  <c r="O789" i="1" s="1"/>
  <c r="N791" i="1"/>
  <c r="J721" i="1"/>
  <c r="K721" i="1" s="1"/>
  <c r="O330" i="14" l="1"/>
  <c r="K522" i="15"/>
  <c r="P90" i="15"/>
  <c r="P330" i="14"/>
  <c r="M119" i="15"/>
  <c r="P119" i="15" s="1"/>
  <c r="M469" i="14"/>
  <c r="P469" i="14" s="1"/>
  <c r="P263" i="15"/>
  <c r="P347" i="15"/>
  <c r="P345" i="15"/>
  <c r="P421" i="14"/>
  <c r="M88" i="15"/>
  <c r="P88" i="15" s="1"/>
  <c r="O90" i="13"/>
  <c r="P424" i="14"/>
  <c r="L119" i="15"/>
  <c r="O119" i="15" s="1"/>
  <c r="P449" i="13"/>
  <c r="M66" i="14"/>
  <c r="P66" i="14" s="1"/>
  <c r="M422" i="14"/>
  <c r="P422" i="14" s="1"/>
  <c r="P330" i="13"/>
  <c r="L444" i="14"/>
  <c r="O444" i="14" s="1"/>
  <c r="I64" i="15"/>
  <c r="K64" i="15" s="1"/>
  <c r="P68" i="15"/>
  <c r="O347" i="15"/>
  <c r="M33" i="14"/>
  <c r="M31" i="14" s="1"/>
  <c r="O264" i="15"/>
  <c r="P55" i="15"/>
  <c r="P330" i="15"/>
  <c r="O330" i="15"/>
  <c r="L227" i="15"/>
  <c r="O422" i="13"/>
  <c r="P549" i="15"/>
  <c r="O300" i="13"/>
  <c r="P472" i="14"/>
  <c r="K537" i="15"/>
  <c r="M402" i="15"/>
  <c r="P402" i="15" s="1"/>
  <c r="O345" i="15"/>
  <c r="O263" i="15"/>
  <c r="N33" i="6"/>
  <c r="P632" i="6"/>
  <c r="P629" i="6"/>
  <c r="L786" i="14"/>
  <c r="O786" i="14" s="1"/>
  <c r="O238" i="15"/>
  <c r="O472" i="6"/>
  <c r="P470" i="6"/>
  <c r="N469" i="6"/>
  <c r="N467" i="6" s="1"/>
  <c r="P546" i="6"/>
  <c r="P472" i="6"/>
  <c r="K434" i="15"/>
  <c r="P546" i="15"/>
  <c r="O655" i="6"/>
  <c r="I64" i="13"/>
  <c r="K64" i="13" s="1"/>
  <c r="P90" i="14"/>
  <c r="M53" i="15"/>
  <c r="P53" i="15" s="1"/>
  <c r="O88" i="15"/>
  <c r="P151" i="15"/>
  <c r="P391" i="15"/>
  <c r="L261" i="15"/>
  <c r="O261" i="15" s="1"/>
  <c r="K77" i="14"/>
  <c r="O151" i="15"/>
  <c r="P331" i="15"/>
  <c r="K433" i="15"/>
  <c r="J364" i="15"/>
  <c r="K364" i="15" s="1"/>
  <c r="O167" i="15"/>
  <c r="P43" i="14"/>
  <c r="O183" i="15"/>
  <c r="L419" i="14"/>
  <c r="O419" i="14" s="1"/>
  <c r="K288" i="15"/>
  <c r="L402" i="15"/>
  <c r="O402" i="15" s="1"/>
  <c r="M328" i="15"/>
  <c r="P328" i="15" s="1"/>
  <c r="O90" i="15"/>
  <c r="L389" i="13"/>
  <c r="O389" i="13" s="1"/>
  <c r="O317" i="15"/>
  <c r="L523" i="15"/>
  <c r="O523" i="15" s="1"/>
  <c r="O165" i="13"/>
  <c r="M119" i="14"/>
  <c r="P119" i="14" s="1"/>
  <c r="L328" i="15"/>
  <c r="O328" i="15" s="1"/>
  <c r="L467" i="15"/>
  <c r="O467" i="15" s="1"/>
  <c r="O55" i="13"/>
  <c r="O56" i="15"/>
  <c r="L786" i="15"/>
  <c r="O786" i="15" s="1"/>
  <c r="O59" i="15"/>
  <c r="P317" i="15"/>
  <c r="P277" i="15"/>
  <c r="M446" i="13"/>
  <c r="P446" i="13" s="1"/>
  <c r="N16" i="15"/>
  <c r="N14" i="15" s="1"/>
  <c r="N24" i="15"/>
  <c r="P24" i="15" s="1"/>
  <c r="L34" i="15"/>
  <c r="O34" i="15" s="1"/>
  <c r="N66" i="15"/>
  <c r="O134" i="15"/>
  <c r="N446" i="15"/>
  <c r="O449" i="15"/>
  <c r="N447" i="15"/>
  <c r="P449" i="15"/>
  <c r="P318" i="15"/>
  <c r="O318" i="15"/>
  <c r="P300" i="15"/>
  <c r="P134" i="15"/>
  <c r="O55" i="15"/>
  <c r="L53" i="15"/>
  <c r="O53" i="15" s="1"/>
  <c r="P43" i="15"/>
  <c r="O44" i="15"/>
  <c r="O68" i="15"/>
  <c r="O132" i="15"/>
  <c r="K77" i="15"/>
  <c r="I65" i="15"/>
  <c r="K65" i="15" s="1"/>
  <c r="O43" i="15"/>
  <c r="M33" i="15"/>
  <c r="P424" i="15"/>
  <c r="M422" i="15"/>
  <c r="P422" i="15" s="1"/>
  <c r="M421" i="15"/>
  <c r="L298" i="15"/>
  <c r="O298" i="15" s="1"/>
  <c r="O300" i="15"/>
  <c r="O446" i="15"/>
  <c r="P280" i="15"/>
  <c r="N544" i="15"/>
  <c r="N33" i="15"/>
  <c r="O33" i="15" s="1"/>
  <c r="P41" i="15"/>
  <c r="L149" i="15"/>
  <c r="O149" i="15" s="1"/>
  <c r="N21" i="15"/>
  <c r="P21" i="15" s="1"/>
  <c r="N13" i="15"/>
  <c r="N20" i="15"/>
  <c r="N18" i="15" s="1"/>
  <c r="L24" i="15"/>
  <c r="O24" i="15" s="1"/>
  <c r="L16" i="15"/>
  <c r="O26" i="15"/>
  <c r="N181" i="15"/>
  <c r="P181" i="15" s="1"/>
  <c r="O19" i="15"/>
  <c r="M16" i="15"/>
  <c r="P26" i="15"/>
  <c r="O41" i="15"/>
  <c r="P183" i="15"/>
  <c r="M20" i="15"/>
  <c r="P23" i="15"/>
  <c r="L544" i="15"/>
  <c r="O544" i="15" s="1"/>
  <c r="L315" i="15"/>
  <c r="O315" i="15" s="1"/>
  <c r="N165" i="15"/>
  <c r="O165" i="15" s="1"/>
  <c r="I131" i="15"/>
  <c r="K131" i="15" s="1"/>
  <c r="K143" i="15"/>
  <c r="L9" i="15"/>
  <c r="O12" i="15"/>
  <c r="P167" i="15"/>
  <c r="O279" i="15"/>
  <c r="L277" i="15"/>
  <c r="O277" i="15" s="1"/>
  <c r="M261" i="15"/>
  <c r="P261" i="15" s="1"/>
  <c r="P298" i="15"/>
  <c r="L629" i="15"/>
  <c r="O629" i="15" s="1"/>
  <c r="M315" i="15"/>
  <c r="P315" i="15" s="1"/>
  <c r="M469" i="15"/>
  <c r="M470" i="15"/>
  <c r="P470" i="15" s="1"/>
  <c r="P472" i="15"/>
  <c r="O43" i="14"/>
  <c r="O391" i="14"/>
  <c r="M9" i="15"/>
  <c r="P12" i="15"/>
  <c r="L13" i="15"/>
  <c r="L11" i="15" s="1"/>
  <c r="L20" i="15"/>
  <c r="O23" i="15"/>
  <c r="M132" i="15"/>
  <c r="P132" i="15" s="1"/>
  <c r="M149" i="15"/>
  <c r="P149" i="15" s="1"/>
  <c r="L21" i="15"/>
  <c r="P279" i="15"/>
  <c r="M526" i="15"/>
  <c r="P526" i="15" s="1"/>
  <c r="P528" i="15"/>
  <c r="M525" i="15"/>
  <c r="L30" i="15"/>
  <c r="L389" i="15"/>
  <c r="O389" i="15" s="1"/>
  <c r="L419" i="15"/>
  <c r="P19" i="15"/>
  <c r="I226" i="15"/>
  <c r="K237" i="15"/>
  <c r="P544" i="15"/>
  <c r="O687" i="15"/>
  <c r="L685" i="15"/>
  <c r="O685" i="15" s="1"/>
  <c r="P300" i="13"/>
  <c r="K364" i="14"/>
  <c r="P56" i="14"/>
  <c r="L402" i="14"/>
  <c r="O402" i="14" s="1"/>
  <c r="O331" i="14"/>
  <c r="O317" i="14"/>
  <c r="L328" i="14"/>
  <c r="O328" i="14" s="1"/>
  <c r="O167" i="14"/>
  <c r="L277" i="14"/>
  <c r="O277" i="14" s="1"/>
  <c r="P660" i="13"/>
  <c r="N41" i="14"/>
  <c r="P41" i="14" s="1"/>
  <c r="O165" i="14"/>
  <c r="L298" i="13"/>
  <c r="O298" i="13" s="1"/>
  <c r="O330" i="13"/>
  <c r="M298" i="14"/>
  <c r="P298" i="14" s="1"/>
  <c r="L132" i="14"/>
  <c r="O132" i="14" s="1"/>
  <c r="P55" i="14"/>
  <c r="P44" i="14"/>
  <c r="M315" i="14"/>
  <c r="P315" i="14" s="1"/>
  <c r="M277" i="10"/>
  <c r="P277" i="10" s="1"/>
  <c r="L119" i="11"/>
  <c r="O119" i="11" s="1"/>
  <c r="M33" i="12"/>
  <c r="M31" i="12" s="1"/>
  <c r="P55" i="13"/>
  <c r="L66" i="14"/>
  <c r="O66" i="14" s="1"/>
  <c r="P53" i="14"/>
  <c r="O347" i="13"/>
  <c r="M657" i="13"/>
  <c r="M655" i="13" s="1"/>
  <c r="P345" i="13"/>
  <c r="P151" i="14"/>
  <c r="P347" i="14"/>
  <c r="P264" i="14"/>
  <c r="P43" i="13"/>
  <c r="O43" i="13"/>
  <c r="L227" i="13"/>
  <c r="P90" i="13"/>
  <c r="P149" i="14"/>
  <c r="K433" i="14"/>
  <c r="L298" i="14"/>
  <c r="O298" i="14" s="1"/>
  <c r="O263" i="14"/>
  <c r="P345" i="14"/>
  <c r="O31" i="14"/>
  <c r="O55" i="14"/>
  <c r="L53" i="14"/>
  <c r="P261" i="14"/>
  <c r="O525" i="14"/>
  <c r="L523" i="14"/>
  <c r="O523" i="14" s="1"/>
  <c r="P348" i="14"/>
  <c r="L629" i="14"/>
  <c r="O629" i="14" s="1"/>
  <c r="O631" i="14"/>
  <c r="N88" i="14"/>
  <c r="O90" i="14"/>
  <c r="P547" i="14"/>
  <c r="K76" i="14"/>
  <c r="I64" i="14"/>
  <c r="K64" i="14" s="1"/>
  <c r="L227" i="14"/>
  <c r="O469" i="14"/>
  <c r="N467" i="14"/>
  <c r="O263" i="13"/>
  <c r="P298" i="13"/>
  <c r="P19" i="14"/>
  <c r="N30" i="14"/>
  <c r="N28" i="14" s="1"/>
  <c r="N31" i="14"/>
  <c r="L149" i="14"/>
  <c r="O149" i="14" s="1"/>
  <c r="O151" i="14"/>
  <c r="O657" i="14"/>
  <c r="L655" i="14"/>
  <c r="O655" i="14" s="1"/>
  <c r="P134" i="14"/>
  <c r="M132" i="14"/>
  <c r="P132" i="14" s="1"/>
  <c r="M328" i="14"/>
  <c r="P328" i="14" s="1"/>
  <c r="L34" i="14"/>
  <c r="O34" i="14" s="1"/>
  <c r="P419" i="14"/>
  <c r="M16" i="14"/>
  <c r="P26" i="14"/>
  <c r="O15" i="14"/>
  <c r="P183" i="14"/>
  <c r="M181" i="14"/>
  <c r="P181" i="14" s="1"/>
  <c r="K434" i="14"/>
  <c r="I418" i="14"/>
  <c r="K418" i="14" s="1"/>
  <c r="M469" i="13"/>
  <c r="P469" i="13" s="1"/>
  <c r="N9" i="14"/>
  <c r="M9" i="14"/>
  <c r="P12" i="14"/>
  <c r="O184" i="14"/>
  <c r="M165" i="14"/>
  <c r="P165" i="14" s="1"/>
  <c r="P167" i="14"/>
  <c r="N13" i="14"/>
  <c r="N20" i="14"/>
  <c r="N18" i="14" s="1"/>
  <c r="L544" i="14"/>
  <c r="O546" i="14"/>
  <c r="M277" i="14"/>
  <c r="P277" i="14" s="1"/>
  <c r="P279" i="14"/>
  <c r="O347" i="14"/>
  <c r="L345" i="14"/>
  <c r="O345" i="14" s="1"/>
  <c r="N544" i="14"/>
  <c r="P544" i="14" s="1"/>
  <c r="O470" i="14"/>
  <c r="P470" i="14"/>
  <c r="O21" i="14"/>
  <c r="L24" i="14"/>
  <c r="L16" i="14"/>
  <c r="O26" i="14"/>
  <c r="N328" i="13"/>
  <c r="P328" i="13" s="1"/>
  <c r="P472" i="13"/>
  <c r="M21" i="14"/>
  <c r="P21" i="14" s="1"/>
  <c r="M20" i="14"/>
  <c r="P23" i="14"/>
  <c r="O348" i="14"/>
  <c r="O19" i="14"/>
  <c r="L30" i="14"/>
  <c r="L28" i="14" s="1"/>
  <c r="O28" i="14" s="1"/>
  <c r="O33" i="14"/>
  <c r="P345" i="12"/>
  <c r="L13" i="14"/>
  <c r="L11" i="14" s="1"/>
  <c r="L20" i="14"/>
  <c r="L18" i="14" s="1"/>
  <c r="O23" i="14"/>
  <c r="P29" i="14"/>
  <c r="O121" i="14"/>
  <c r="L119" i="14"/>
  <c r="O119" i="14" s="1"/>
  <c r="P404" i="14"/>
  <c r="M402" i="14"/>
  <c r="P402" i="14" s="1"/>
  <c r="L9" i="14"/>
  <c r="O12" i="14"/>
  <c r="I180" i="14"/>
  <c r="K180" i="14" s="1"/>
  <c r="O547" i="14"/>
  <c r="O261" i="14"/>
  <c r="P263" i="14"/>
  <c r="O183" i="14"/>
  <c r="L181" i="14"/>
  <c r="O181" i="14" s="1"/>
  <c r="O29" i="14"/>
  <c r="P91" i="14"/>
  <c r="N16" i="14"/>
  <c r="N14" i="14" s="1"/>
  <c r="N24" i="14"/>
  <c r="P24" i="14" s="1"/>
  <c r="M389" i="14"/>
  <c r="P389" i="14" s="1"/>
  <c r="L149" i="11"/>
  <c r="O149" i="11" s="1"/>
  <c r="O547" i="12"/>
  <c r="P134" i="13"/>
  <c r="L328" i="13"/>
  <c r="P331" i="13"/>
  <c r="K365" i="12"/>
  <c r="P264" i="13"/>
  <c r="P347" i="13"/>
  <c r="O315" i="13"/>
  <c r="K364" i="13"/>
  <c r="M546" i="11"/>
  <c r="P546" i="11" s="1"/>
  <c r="M66" i="12"/>
  <c r="P66" i="12" s="1"/>
  <c r="M632" i="13"/>
  <c r="P632" i="13" s="1"/>
  <c r="P631" i="13"/>
  <c r="M119" i="12"/>
  <c r="P119" i="12" s="1"/>
  <c r="M53" i="13"/>
  <c r="P53" i="13" s="1"/>
  <c r="P135" i="13"/>
  <c r="L53" i="13"/>
  <c r="O53" i="13" s="1"/>
  <c r="P634" i="13"/>
  <c r="K433" i="13"/>
  <c r="O301" i="13"/>
  <c r="M66" i="13"/>
  <c r="P66" i="13" s="1"/>
  <c r="O21" i="13"/>
  <c r="P183" i="13"/>
  <c r="L66" i="12"/>
  <c r="O66" i="12" s="1"/>
  <c r="P44" i="13"/>
  <c r="L261" i="13"/>
  <c r="O261" i="13" s="1"/>
  <c r="O135" i="13"/>
  <c r="L149" i="13"/>
  <c r="O149" i="13" s="1"/>
  <c r="O151" i="13"/>
  <c r="L277" i="12"/>
  <c r="O277" i="12" s="1"/>
  <c r="P43" i="12"/>
  <c r="L88" i="13"/>
  <c r="M149" i="13"/>
  <c r="P149" i="13" s="1"/>
  <c r="L66" i="13"/>
  <c r="O66" i="13" s="1"/>
  <c r="N88" i="13"/>
  <c r="P88" i="13" s="1"/>
  <c r="L34" i="13"/>
  <c r="O34" i="13" s="1"/>
  <c r="O167" i="13"/>
  <c r="L523" i="13"/>
  <c r="O523" i="13" s="1"/>
  <c r="O658" i="13"/>
  <c r="L119" i="13"/>
  <c r="O119" i="13" s="1"/>
  <c r="P19" i="13"/>
  <c r="P528" i="13"/>
  <c r="M525" i="13"/>
  <c r="M526" i="13"/>
  <c r="P526" i="13" s="1"/>
  <c r="I164" i="11"/>
  <c r="K164" i="11" s="1"/>
  <c r="L523" i="11"/>
  <c r="O523" i="11" s="1"/>
  <c r="L13" i="13"/>
  <c r="L11" i="13" s="1"/>
  <c r="L20" i="13"/>
  <c r="L18" i="13" s="1"/>
  <c r="O23" i="13"/>
  <c r="P121" i="13"/>
  <c r="M119" i="13"/>
  <c r="P119" i="13" s="1"/>
  <c r="O19" i="13"/>
  <c r="P421" i="13"/>
  <c r="M419" i="13"/>
  <c r="I418" i="13"/>
  <c r="K418" i="13" s="1"/>
  <c r="K434" i="13"/>
  <c r="K77" i="13"/>
  <c r="I65" i="13"/>
  <c r="K65" i="13" s="1"/>
  <c r="O318" i="13"/>
  <c r="P318" i="13"/>
  <c r="L629" i="13"/>
  <c r="O629" i="13" s="1"/>
  <c r="O421" i="13"/>
  <c r="L419" i="13"/>
  <c r="O12" i="13"/>
  <c r="L9" i="13"/>
  <c r="M33" i="13"/>
  <c r="M13" i="13" s="1"/>
  <c r="N16" i="13"/>
  <c r="N14" i="13" s="1"/>
  <c r="N24" i="13"/>
  <c r="O24" i="13" s="1"/>
  <c r="P168" i="13"/>
  <c r="O134" i="13"/>
  <c r="L132" i="13"/>
  <c r="K237" i="13"/>
  <c r="I226" i="13"/>
  <c r="L181" i="13"/>
  <c r="O181" i="13" s="1"/>
  <c r="O183" i="13"/>
  <c r="O317" i="13"/>
  <c r="N655" i="13"/>
  <c r="O655" i="13" s="1"/>
  <c r="O331" i="13"/>
  <c r="M20" i="13"/>
  <c r="M18" i="13" s="1"/>
  <c r="P23" i="13"/>
  <c r="M277" i="13"/>
  <c r="P277" i="13" s="1"/>
  <c r="P279" i="13"/>
  <c r="P167" i="13"/>
  <c r="M165" i="13"/>
  <c r="P165" i="13" s="1"/>
  <c r="L277" i="13"/>
  <c r="O277" i="13" s="1"/>
  <c r="O279" i="13"/>
  <c r="O469" i="13"/>
  <c r="L467" i="13"/>
  <c r="O467" i="13" s="1"/>
  <c r="N30" i="13"/>
  <c r="N28" i="13" s="1"/>
  <c r="N31" i="13"/>
  <c r="P629" i="13"/>
  <c r="M402" i="10"/>
  <c r="P402" i="10" s="1"/>
  <c r="O183" i="11"/>
  <c r="L132" i="11"/>
  <c r="O132" i="11" s="1"/>
  <c r="M658" i="11"/>
  <c r="P658" i="11" s="1"/>
  <c r="P29" i="13"/>
  <c r="O41" i="13"/>
  <c r="P59" i="13"/>
  <c r="L30" i="13"/>
  <c r="O30" i="13" s="1"/>
  <c r="O33" i="13"/>
  <c r="N13" i="13"/>
  <c r="N11" i="13" s="1"/>
  <c r="N20" i="13"/>
  <c r="N18" i="13" s="1"/>
  <c r="P317" i="13"/>
  <c r="M315" i="13"/>
  <c r="P315" i="13" s="1"/>
  <c r="L31" i="13"/>
  <c r="O31" i="13" s="1"/>
  <c r="K537" i="13"/>
  <c r="M547" i="13"/>
  <c r="P547" i="13" s="1"/>
  <c r="M546" i="13"/>
  <c r="P549" i="13"/>
  <c r="P263" i="13"/>
  <c r="M261" i="13"/>
  <c r="P261" i="13" s="1"/>
  <c r="M21" i="13"/>
  <c r="P21" i="13" s="1"/>
  <c r="L544" i="13"/>
  <c r="O544" i="13" s="1"/>
  <c r="M389" i="13"/>
  <c r="P389" i="13" s="1"/>
  <c r="I418" i="11"/>
  <c r="K418" i="11" s="1"/>
  <c r="L34" i="11"/>
  <c r="O34" i="11" s="1"/>
  <c r="M547" i="11"/>
  <c r="P547" i="11" s="1"/>
  <c r="P90" i="12"/>
  <c r="M9" i="13"/>
  <c r="P12" i="13"/>
  <c r="N9" i="13"/>
  <c r="M41" i="13"/>
  <c r="M132" i="13"/>
  <c r="P132" i="13" s="1"/>
  <c r="L16" i="13"/>
  <c r="O26" i="13"/>
  <c r="O29" i="13"/>
  <c r="J131" i="13"/>
  <c r="K131" i="13" s="1"/>
  <c r="K143" i="13"/>
  <c r="L402" i="13"/>
  <c r="O402" i="13" s="1"/>
  <c r="O404" i="13"/>
  <c r="K522" i="13"/>
  <c r="M402" i="13"/>
  <c r="P402" i="13" s="1"/>
  <c r="M24" i="13"/>
  <c r="P26" i="13"/>
  <c r="M16" i="13"/>
  <c r="L345" i="13"/>
  <c r="O345" i="13" s="1"/>
  <c r="P56" i="13"/>
  <c r="M181" i="13"/>
  <c r="P181" i="13" s="1"/>
  <c r="L444" i="13"/>
  <c r="O444" i="13" s="1"/>
  <c r="P658" i="13"/>
  <c r="L523" i="12"/>
  <c r="O523" i="12" s="1"/>
  <c r="L467" i="10"/>
  <c r="O467" i="10" s="1"/>
  <c r="P184" i="12"/>
  <c r="K131" i="9"/>
  <c r="P91" i="12"/>
  <c r="P88" i="12"/>
  <c r="P347" i="12"/>
  <c r="O631" i="10"/>
  <c r="I226" i="12"/>
  <c r="K226" i="12" s="1"/>
  <c r="L315" i="12"/>
  <c r="O315" i="12" s="1"/>
  <c r="L389" i="12"/>
  <c r="O389" i="12" s="1"/>
  <c r="O331" i="12"/>
  <c r="K143" i="9"/>
  <c r="P56" i="12"/>
  <c r="K143" i="12"/>
  <c r="I131" i="12"/>
  <c r="K131" i="12" s="1"/>
  <c r="P449" i="10"/>
  <c r="P446" i="10"/>
  <c r="O167" i="11"/>
  <c r="L402" i="12"/>
  <c r="O402" i="12" s="1"/>
  <c r="M119" i="10"/>
  <c r="P119" i="10" s="1"/>
  <c r="P90" i="11"/>
  <c r="M657" i="11"/>
  <c r="P657" i="11" s="1"/>
  <c r="P165" i="11"/>
  <c r="P168" i="12"/>
  <c r="L544" i="12"/>
  <c r="O544" i="12" s="1"/>
  <c r="L298" i="12"/>
  <c r="O298" i="12" s="1"/>
  <c r="K364" i="10"/>
  <c r="P263" i="11"/>
  <c r="M298" i="12"/>
  <c r="P298" i="12" s="1"/>
  <c r="P300" i="12"/>
  <c r="O263" i="11"/>
  <c r="O469" i="12"/>
  <c r="O43" i="12"/>
  <c r="M149" i="12"/>
  <c r="P149" i="12" s="1"/>
  <c r="N414" i="12"/>
  <c r="M277" i="12"/>
  <c r="P277" i="12" s="1"/>
  <c r="P279" i="12"/>
  <c r="M9" i="12"/>
  <c r="P12" i="12"/>
  <c r="P55" i="12"/>
  <c r="N53" i="12"/>
  <c r="P53" i="12" s="1"/>
  <c r="M315" i="12"/>
  <c r="P315" i="12" s="1"/>
  <c r="O421" i="12"/>
  <c r="P348" i="12"/>
  <c r="L227" i="12"/>
  <c r="O238" i="12"/>
  <c r="L34" i="12"/>
  <c r="O34" i="12" s="1"/>
  <c r="P183" i="12"/>
  <c r="O264" i="12"/>
  <c r="L419" i="12"/>
  <c r="L328" i="12"/>
  <c r="O328" i="12" s="1"/>
  <c r="O330" i="12"/>
  <c r="N629" i="12"/>
  <c r="P629" i="12" s="1"/>
  <c r="K77" i="12"/>
  <c r="I65" i="12"/>
  <c r="K65" i="12" s="1"/>
  <c r="O68" i="9"/>
  <c r="P167" i="11"/>
  <c r="L261" i="11"/>
  <c r="O261" i="11" s="1"/>
  <c r="P19" i="12"/>
  <c r="O55" i="12"/>
  <c r="L53" i="12"/>
  <c r="M21" i="12"/>
  <c r="P21" i="12" s="1"/>
  <c r="M20" i="12"/>
  <c r="M18" i="12" s="1"/>
  <c r="P23" i="12"/>
  <c r="L30" i="12"/>
  <c r="O30" i="12" s="1"/>
  <c r="O33" i="12"/>
  <c r="L165" i="12"/>
  <c r="O165" i="12" s="1"/>
  <c r="O167" i="12"/>
  <c r="O121" i="12"/>
  <c r="L119" i="12"/>
  <c r="O119" i="12" s="1"/>
  <c r="I64" i="12"/>
  <c r="K64" i="12" s="1"/>
  <c r="K76" i="12"/>
  <c r="M469" i="12"/>
  <c r="P472" i="12"/>
  <c r="M470" i="12"/>
  <c r="P470" i="12" s="1"/>
  <c r="K364" i="12"/>
  <c r="O446" i="12"/>
  <c r="L444" i="12"/>
  <c r="O444" i="12" s="1"/>
  <c r="N9" i="12"/>
  <c r="O41" i="12"/>
  <c r="P330" i="12"/>
  <c r="O19" i="12"/>
  <c r="O183" i="12"/>
  <c r="L181" i="12"/>
  <c r="O181" i="12" s="1"/>
  <c r="L16" i="12"/>
  <c r="L14" i="12" s="1"/>
  <c r="O26" i="12"/>
  <c r="M328" i="12"/>
  <c r="P328" i="12" s="1"/>
  <c r="M16" i="12"/>
  <c r="P26" i="12"/>
  <c r="L629" i="12"/>
  <c r="O629" i="12" s="1"/>
  <c r="O631" i="12"/>
  <c r="N13" i="12"/>
  <c r="N20" i="12"/>
  <c r="N18" i="12" s="1"/>
  <c r="O347" i="12"/>
  <c r="L345" i="12"/>
  <c r="O345" i="12" s="1"/>
  <c r="N261" i="12"/>
  <c r="P261" i="12" s="1"/>
  <c r="P263" i="12"/>
  <c r="L9" i="12"/>
  <c r="O12" i="12"/>
  <c r="P181" i="12"/>
  <c r="L88" i="12"/>
  <c r="O88" i="12" s="1"/>
  <c r="O90" i="12"/>
  <c r="P165" i="12"/>
  <c r="O15" i="12"/>
  <c r="P167" i="12"/>
  <c r="K434" i="12"/>
  <c r="I418" i="12"/>
  <c r="K418" i="12" s="1"/>
  <c r="P41" i="12"/>
  <c r="P391" i="12"/>
  <c r="M389" i="12"/>
  <c r="P389" i="12" s="1"/>
  <c r="P404" i="12"/>
  <c r="M402" i="12"/>
  <c r="P402" i="12" s="1"/>
  <c r="L685" i="12"/>
  <c r="O685" i="12" s="1"/>
  <c r="O330" i="11"/>
  <c r="L13" i="12"/>
  <c r="L11" i="12" s="1"/>
  <c r="L20" i="12"/>
  <c r="O23" i="12"/>
  <c r="N16" i="12"/>
  <c r="N14" i="12" s="1"/>
  <c r="N24" i="12"/>
  <c r="P24" i="12" s="1"/>
  <c r="L24" i="12"/>
  <c r="L21" i="12"/>
  <c r="O21" i="12" s="1"/>
  <c r="N30" i="12"/>
  <c r="N28" i="12" s="1"/>
  <c r="N31" i="12"/>
  <c r="L132" i="12"/>
  <c r="O132" i="12" s="1"/>
  <c r="P421" i="12"/>
  <c r="M419" i="12"/>
  <c r="O29" i="12"/>
  <c r="O263" i="12"/>
  <c r="O151" i="12"/>
  <c r="L149" i="12"/>
  <c r="O149" i="12" s="1"/>
  <c r="I417" i="12"/>
  <c r="K417" i="12" s="1"/>
  <c r="K433" i="12"/>
  <c r="M544" i="12"/>
  <c r="P544" i="12" s="1"/>
  <c r="P545" i="12"/>
  <c r="P134" i="12"/>
  <c r="M132" i="12"/>
  <c r="P132" i="12" s="1"/>
  <c r="M446" i="12"/>
  <c r="M447" i="12"/>
  <c r="P447" i="12" s="1"/>
  <c r="P449" i="12"/>
  <c r="O300" i="10"/>
  <c r="K76" i="10"/>
  <c r="P391" i="11"/>
  <c r="O53" i="11"/>
  <c r="M447" i="10"/>
  <c r="P447" i="10" s="1"/>
  <c r="P328" i="10"/>
  <c r="P345" i="11"/>
  <c r="K77" i="11"/>
  <c r="P300" i="9"/>
  <c r="L402" i="11"/>
  <c r="O402" i="11" s="1"/>
  <c r="M389" i="10"/>
  <c r="P389" i="10" s="1"/>
  <c r="P55" i="10"/>
  <c r="L315" i="11"/>
  <c r="O315" i="11" s="1"/>
  <c r="P317" i="11"/>
  <c r="L66" i="11"/>
  <c r="O66" i="11" s="1"/>
  <c r="M298" i="9"/>
  <c r="P298" i="9" s="1"/>
  <c r="L402" i="9"/>
  <c r="O402" i="9" s="1"/>
  <c r="K364" i="11"/>
  <c r="P347" i="11"/>
  <c r="O55" i="11"/>
  <c r="P90" i="9"/>
  <c r="O446" i="10"/>
  <c r="L66" i="10"/>
  <c r="O66" i="10" s="1"/>
  <c r="M298" i="11"/>
  <c r="P298" i="11" s="1"/>
  <c r="O264" i="11"/>
  <c r="N88" i="11"/>
  <c r="P88" i="11" s="1"/>
  <c r="P59" i="11"/>
  <c r="K433" i="11"/>
  <c r="M277" i="11"/>
  <c r="P277" i="11" s="1"/>
  <c r="O90" i="11"/>
  <c r="M470" i="11"/>
  <c r="P470" i="11" s="1"/>
  <c r="P472" i="11"/>
  <c r="P56" i="11"/>
  <c r="L298" i="11"/>
  <c r="O298" i="11" s="1"/>
  <c r="O168" i="11"/>
  <c r="O41" i="11"/>
  <c r="M149" i="11"/>
  <c r="P149" i="11" s="1"/>
  <c r="L544" i="11"/>
  <c r="O544" i="11" s="1"/>
  <c r="P183" i="11"/>
  <c r="P41" i="11"/>
  <c r="N414" i="11"/>
  <c r="P88" i="10"/>
  <c r="O29" i="11"/>
  <c r="O43" i="11"/>
  <c r="L345" i="11"/>
  <c r="O345" i="11" s="1"/>
  <c r="O347" i="11"/>
  <c r="L16" i="11"/>
  <c r="O26" i="11"/>
  <c r="L389" i="11"/>
  <c r="O389" i="11" s="1"/>
  <c r="O44" i="11"/>
  <c r="L444" i="11"/>
  <c r="O444" i="11" s="1"/>
  <c r="O446" i="11"/>
  <c r="P44" i="8"/>
  <c r="P330" i="8"/>
  <c r="K434" i="10"/>
  <c r="N16" i="11"/>
  <c r="N14" i="11" s="1"/>
  <c r="N24" i="11"/>
  <c r="M21" i="11"/>
  <c r="P21" i="11" s="1"/>
  <c r="M20" i="11"/>
  <c r="M18" i="11" s="1"/>
  <c r="P23" i="11"/>
  <c r="M132" i="11"/>
  <c r="P132" i="11" s="1"/>
  <c r="P404" i="11"/>
  <c r="M402" i="11"/>
  <c r="P402" i="11" s="1"/>
  <c r="L277" i="11"/>
  <c r="O277" i="11" s="1"/>
  <c r="O279" i="11"/>
  <c r="N13" i="11"/>
  <c r="N20" i="11"/>
  <c r="N18" i="11" s="1"/>
  <c r="M261" i="11"/>
  <c r="P261" i="11" s="1"/>
  <c r="L467" i="11"/>
  <c r="O467" i="11" s="1"/>
  <c r="O421" i="11"/>
  <c r="L419" i="11"/>
  <c r="O31" i="11"/>
  <c r="P331" i="8"/>
  <c r="O181" i="9"/>
  <c r="N30" i="11"/>
  <c r="N28" i="11" s="1"/>
  <c r="N31" i="11"/>
  <c r="O19" i="11"/>
  <c r="P53" i="11"/>
  <c r="M119" i="11"/>
  <c r="P119" i="11" s="1"/>
  <c r="P55" i="11"/>
  <c r="K76" i="11"/>
  <c r="I64" i="11"/>
  <c r="K64" i="11" s="1"/>
  <c r="O351" i="11"/>
  <c r="P351" i="11"/>
  <c r="L629" i="11"/>
  <c r="O629" i="11" s="1"/>
  <c r="P330" i="11"/>
  <c r="M328" i="11"/>
  <c r="P328" i="11" s="1"/>
  <c r="K433" i="10"/>
  <c r="P29" i="11"/>
  <c r="N9" i="11"/>
  <c r="L165" i="11"/>
  <c r="O165" i="11" s="1"/>
  <c r="P469" i="11"/>
  <c r="M467" i="11"/>
  <c r="P467" i="11" s="1"/>
  <c r="L9" i="11"/>
  <c r="O12" i="11"/>
  <c r="N181" i="11"/>
  <c r="M66" i="11"/>
  <c r="P66" i="11" s="1"/>
  <c r="L328" i="11"/>
  <c r="O328" i="11" s="1"/>
  <c r="L655" i="11"/>
  <c r="O655" i="11" s="1"/>
  <c r="O657" i="11"/>
  <c r="L24" i="11"/>
  <c r="M33" i="11"/>
  <c r="M421" i="11"/>
  <c r="P424" i="11"/>
  <c r="M422" i="11"/>
  <c r="P422" i="11" s="1"/>
  <c r="P19" i="11"/>
  <c r="O43" i="8"/>
  <c r="P43" i="11"/>
  <c r="M16" i="11"/>
  <c r="M24" i="11"/>
  <c r="P26" i="11"/>
  <c r="L13" i="11"/>
  <c r="L11" i="11" s="1"/>
  <c r="L20" i="11"/>
  <c r="O23" i="11"/>
  <c r="L21" i="11"/>
  <c r="O21" i="11" s="1"/>
  <c r="I226" i="11"/>
  <c r="K237" i="11"/>
  <c r="P9" i="11"/>
  <c r="L88" i="11"/>
  <c r="O238" i="11"/>
  <c r="L227" i="11"/>
  <c r="L30" i="11"/>
  <c r="L28" i="11" s="1"/>
  <c r="O33" i="11"/>
  <c r="K559" i="11"/>
  <c r="J543" i="11"/>
  <c r="K543" i="11" s="1"/>
  <c r="O348" i="11"/>
  <c r="M657" i="9"/>
  <c r="P657" i="9" s="1"/>
  <c r="O330" i="9"/>
  <c r="O347" i="10"/>
  <c r="L132" i="10"/>
  <c r="O132" i="10" s="1"/>
  <c r="P181" i="10"/>
  <c r="M298" i="10"/>
  <c r="P298" i="10" s="1"/>
  <c r="P263" i="9"/>
  <c r="M33" i="9"/>
  <c r="M31" i="9" s="1"/>
  <c r="P31" i="9" s="1"/>
  <c r="P44" i="10"/>
  <c r="L34" i="10"/>
  <c r="O34" i="10" s="1"/>
  <c r="P90" i="10"/>
  <c r="O181" i="10"/>
  <c r="P167" i="10"/>
  <c r="L419" i="10"/>
  <c r="O419" i="10" s="1"/>
  <c r="M470" i="10"/>
  <c r="P470" i="10" s="1"/>
  <c r="M469" i="10"/>
  <c r="P472" i="10"/>
  <c r="P56" i="10"/>
  <c r="N414" i="10"/>
  <c r="M66" i="10"/>
  <c r="P68" i="10"/>
  <c r="N37" i="10"/>
  <c r="P19" i="10"/>
  <c r="L9" i="10"/>
  <c r="O12" i="10"/>
  <c r="P41" i="10"/>
  <c r="M33" i="10"/>
  <c r="M13" i="10" s="1"/>
  <c r="M421" i="10"/>
  <c r="P424" i="10"/>
  <c r="M422" i="10"/>
  <c r="P422" i="10" s="1"/>
  <c r="K77" i="10"/>
  <c r="I65" i="10"/>
  <c r="K65" i="10" s="1"/>
  <c r="O525" i="10"/>
  <c r="L523" i="10"/>
  <c r="O523" i="10" s="1"/>
  <c r="O422" i="10"/>
  <c r="O56" i="10"/>
  <c r="O55" i="10"/>
  <c r="L53" i="10"/>
  <c r="O53" i="10" s="1"/>
  <c r="O29" i="10"/>
  <c r="L24" i="10"/>
  <c r="L16" i="10"/>
  <c r="O26" i="10"/>
  <c r="N24" i="10"/>
  <c r="O183" i="10"/>
  <c r="M20" i="10"/>
  <c r="P23" i="10"/>
  <c r="L31" i="10"/>
  <c r="O31" i="10" s="1"/>
  <c r="L30" i="10"/>
  <c r="O30" i="10" s="1"/>
  <c r="O33" i="10"/>
  <c r="O167" i="10"/>
  <c r="N21" i="10"/>
  <c r="P21" i="10" s="1"/>
  <c r="N13" i="10"/>
  <c r="N10" i="10" s="1"/>
  <c r="N20" i="10"/>
  <c r="N18" i="10" s="1"/>
  <c r="O19" i="10"/>
  <c r="M544" i="10"/>
  <c r="P544" i="10" s="1"/>
  <c r="P546" i="10"/>
  <c r="M389" i="9"/>
  <c r="P389" i="9" s="1"/>
  <c r="P424" i="9"/>
  <c r="M132" i="10"/>
  <c r="P132" i="10" s="1"/>
  <c r="P134" i="10"/>
  <c r="O121" i="10"/>
  <c r="L119" i="10"/>
  <c r="O119" i="10" s="1"/>
  <c r="M16" i="10"/>
  <c r="M24" i="10"/>
  <c r="P26" i="10"/>
  <c r="N31" i="10"/>
  <c r="M149" i="10"/>
  <c r="P149" i="10" s="1"/>
  <c r="P263" i="10"/>
  <c r="M261" i="10"/>
  <c r="P261" i="10" s="1"/>
  <c r="P444" i="10"/>
  <c r="L13" i="10"/>
  <c r="L11" i="10" s="1"/>
  <c r="L20" i="10"/>
  <c r="L18" i="10" s="1"/>
  <c r="O23" i="10"/>
  <c r="L227" i="10"/>
  <c r="O238" i="10"/>
  <c r="O330" i="10"/>
  <c r="I226" i="10"/>
  <c r="K237" i="10"/>
  <c r="O317" i="10"/>
  <c r="L315" i="10"/>
  <c r="O315" i="10" s="1"/>
  <c r="L345" i="10"/>
  <c r="O345" i="10" s="1"/>
  <c r="L544" i="10"/>
  <c r="O544" i="10" s="1"/>
  <c r="O546" i="10"/>
  <c r="L786" i="10"/>
  <c r="O786" i="10" s="1"/>
  <c r="L261" i="10"/>
  <c r="O261" i="10" s="1"/>
  <c r="O263" i="10"/>
  <c r="M9" i="10"/>
  <c r="P12" i="10"/>
  <c r="O43" i="9"/>
  <c r="K433" i="9"/>
  <c r="O151" i="10"/>
  <c r="L149" i="10"/>
  <c r="O149" i="10" s="1"/>
  <c r="O43" i="10"/>
  <c r="O165" i="10"/>
  <c r="L88" i="10"/>
  <c r="O88" i="10" s="1"/>
  <c r="O90" i="10"/>
  <c r="K143" i="10"/>
  <c r="I131" i="10"/>
  <c r="K131" i="10" s="1"/>
  <c r="P330" i="10"/>
  <c r="P317" i="10"/>
  <c r="M315" i="10"/>
  <c r="P315" i="10" s="1"/>
  <c r="M345" i="10"/>
  <c r="P345" i="10" s="1"/>
  <c r="P347" i="10"/>
  <c r="O404" i="10"/>
  <c r="L402" i="10"/>
  <c r="O402" i="10" s="1"/>
  <c r="N9" i="10"/>
  <c r="O44" i="10"/>
  <c r="P53" i="10"/>
  <c r="O41" i="10"/>
  <c r="P183" i="10"/>
  <c r="P43" i="10"/>
  <c r="L277" i="10"/>
  <c r="O277" i="10" s="1"/>
  <c r="P165" i="10"/>
  <c r="O328" i="10"/>
  <c r="L655" i="10"/>
  <c r="O655" i="10" s="1"/>
  <c r="O657" i="10"/>
  <c r="L389" i="10"/>
  <c r="O389" i="10" s="1"/>
  <c r="I131" i="8"/>
  <c r="K131" i="8" s="1"/>
  <c r="O263" i="9"/>
  <c r="M422" i="9"/>
  <c r="P422" i="9" s="1"/>
  <c r="O55" i="9"/>
  <c r="M419" i="9"/>
  <c r="P419" i="9" s="1"/>
  <c r="P43" i="9"/>
  <c r="L277" i="9"/>
  <c r="O277" i="9" s="1"/>
  <c r="M149" i="9"/>
  <c r="P149" i="9" s="1"/>
  <c r="M658" i="9"/>
  <c r="P658" i="9" s="1"/>
  <c r="M546" i="9"/>
  <c r="P546" i="9" s="1"/>
  <c r="O300" i="9"/>
  <c r="N41" i="9"/>
  <c r="O41" i="9" s="1"/>
  <c r="O301" i="9"/>
  <c r="L402" i="7"/>
  <c r="O402" i="7" s="1"/>
  <c r="O184" i="9"/>
  <c r="P345" i="9"/>
  <c r="O138" i="9"/>
  <c r="L389" i="9"/>
  <c r="O389" i="9" s="1"/>
  <c r="L467" i="9"/>
  <c r="O467" i="9" s="1"/>
  <c r="P167" i="9"/>
  <c r="M315" i="7"/>
  <c r="P315" i="7" s="1"/>
  <c r="P91" i="9"/>
  <c r="L402" i="8"/>
  <c r="O402" i="8" s="1"/>
  <c r="O44" i="9"/>
  <c r="P347" i="9"/>
  <c r="L66" i="8"/>
  <c r="O66" i="8" s="1"/>
  <c r="L298" i="9"/>
  <c r="O298" i="9" s="1"/>
  <c r="L655" i="9"/>
  <c r="O655" i="9" s="1"/>
  <c r="O351" i="9"/>
  <c r="K364" i="8"/>
  <c r="M149" i="8"/>
  <c r="P149" i="8" s="1"/>
  <c r="L149" i="8"/>
  <c r="O149" i="8" s="1"/>
  <c r="N328" i="9"/>
  <c r="P328" i="9" s="1"/>
  <c r="M119" i="9"/>
  <c r="P119" i="9" s="1"/>
  <c r="P165" i="9"/>
  <c r="M547" i="9"/>
  <c r="P547" i="9" s="1"/>
  <c r="M277" i="9"/>
  <c r="P277" i="9" s="1"/>
  <c r="P279" i="9"/>
  <c r="N66" i="9"/>
  <c r="O66" i="9" s="1"/>
  <c r="P132" i="9"/>
  <c r="P549" i="9"/>
  <c r="L315" i="9"/>
  <c r="O315" i="9" s="1"/>
  <c r="K364" i="7"/>
  <c r="K434" i="8"/>
  <c r="O165" i="8"/>
  <c r="P134" i="9"/>
  <c r="K76" i="8"/>
  <c r="L544" i="8"/>
  <c r="O544" i="8" s="1"/>
  <c r="M315" i="8"/>
  <c r="P315" i="8" s="1"/>
  <c r="P330" i="9"/>
  <c r="K364" i="9"/>
  <c r="N414" i="9"/>
  <c r="P26" i="9"/>
  <c r="M16" i="9"/>
  <c r="O19" i="9"/>
  <c r="M467" i="9"/>
  <c r="P467" i="9" s="1"/>
  <c r="P469" i="9"/>
  <c r="O658" i="7"/>
  <c r="P184" i="8"/>
  <c r="L13" i="9"/>
  <c r="L20" i="9"/>
  <c r="L18" i="9" s="1"/>
  <c r="O23" i="9"/>
  <c r="O421" i="9"/>
  <c r="L419" i="9"/>
  <c r="O12" i="9"/>
  <c r="L9" i="9"/>
  <c r="L629" i="9"/>
  <c r="O629" i="9" s="1"/>
  <c r="O631" i="9"/>
  <c r="K434" i="9"/>
  <c r="I418" i="9"/>
  <c r="K418" i="9" s="1"/>
  <c r="O168" i="9"/>
  <c r="P351" i="9"/>
  <c r="L16" i="9"/>
  <c r="L14" i="9" s="1"/>
  <c r="O26" i="9"/>
  <c r="O134" i="9"/>
  <c r="L132" i="9"/>
  <c r="O132" i="9" s="1"/>
  <c r="N30" i="9"/>
  <c r="N31" i="9"/>
  <c r="O31" i="9" s="1"/>
  <c r="M9" i="9"/>
  <c r="P12" i="9"/>
  <c r="M24" i="9"/>
  <c r="N16" i="9"/>
  <c r="N14" i="9" s="1"/>
  <c r="N24" i="9"/>
  <c r="O24" i="9" s="1"/>
  <c r="N88" i="9"/>
  <c r="P88" i="9" s="1"/>
  <c r="O29" i="9"/>
  <c r="I64" i="9"/>
  <c r="K64" i="9" s="1"/>
  <c r="K76" i="9"/>
  <c r="L30" i="9"/>
  <c r="O30" i="9" s="1"/>
  <c r="O33" i="9"/>
  <c r="L21" i="9"/>
  <c r="O21" i="9" s="1"/>
  <c r="L786" i="9"/>
  <c r="O786" i="9" s="1"/>
  <c r="O788" i="9"/>
  <c r="P138" i="9"/>
  <c r="L227" i="9"/>
  <c r="O238" i="9"/>
  <c r="K164" i="9"/>
  <c r="P68" i="9"/>
  <c r="M66" i="9"/>
  <c r="P183" i="9"/>
  <c r="L544" i="9"/>
  <c r="O544" i="9" s="1"/>
  <c r="M444" i="9"/>
  <c r="P444" i="9" s="1"/>
  <c r="P446" i="9"/>
  <c r="P19" i="9"/>
  <c r="L88" i="9"/>
  <c r="O90" i="9"/>
  <c r="O330" i="8"/>
  <c r="M41" i="9"/>
  <c r="M21" i="9"/>
  <c r="P21" i="9" s="1"/>
  <c r="M20" i="9"/>
  <c r="P23" i="9"/>
  <c r="L34" i="9"/>
  <c r="O34" i="9" s="1"/>
  <c r="P181" i="9"/>
  <c r="O91" i="9"/>
  <c r="K77" i="9"/>
  <c r="I65" i="9"/>
  <c r="K65" i="9" s="1"/>
  <c r="P331" i="9"/>
  <c r="O347" i="9"/>
  <c r="L345" i="9"/>
  <c r="O345" i="9" s="1"/>
  <c r="L685" i="9"/>
  <c r="O685" i="9" s="1"/>
  <c r="O687" i="9"/>
  <c r="I226" i="9"/>
  <c r="K237" i="9"/>
  <c r="N28" i="9"/>
  <c r="N261" i="9"/>
  <c r="P261" i="9" s="1"/>
  <c r="P264" i="9"/>
  <c r="O264" i="9"/>
  <c r="L523" i="9"/>
  <c r="O523" i="9" s="1"/>
  <c r="O525" i="9"/>
  <c r="K434" i="7"/>
  <c r="M657" i="7"/>
  <c r="P657" i="7" s="1"/>
  <c r="L328" i="8"/>
  <c r="O328" i="8" s="1"/>
  <c r="O184" i="8"/>
  <c r="N9" i="9"/>
  <c r="N13" i="9"/>
  <c r="N20" i="9"/>
  <c r="N18" i="9" s="1"/>
  <c r="O15" i="9"/>
  <c r="P55" i="9"/>
  <c r="N53" i="9"/>
  <c r="P53" i="9" s="1"/>
  <c r="O183" i="9"/>
  <c r="L444" i="9"/>
  <c r="O444" i="9" s="1"/>
  <c r="L149" i="9"/>
  <c r="O149" i="9" s="1"/>
  <c r="O151" i="9"/>
  <c r="L119" i="9"/>
  <c r="O119" i="9" s="1"/>
  <c r="O121" i="9"/>
  <c r="M315" i="9"/>
  <c r="P315" i="9" s="1"/>
  <c r="L165" i="9"/>
  <c r="O165" i="9" s="1"/>
  <c r="O167" i="9"/>
  <c r="K76" i="7"/>
  <c r="M658" i="7"/>
  <c r="P658" i="7" s="1"/>
  <c r="O300" i="8"/>
  <c r="L132" i="8"/>
  <c r="O132" i="8" s="1"/>
  <c r="O44" i="8"/>
  <c r="P55" i="8"/>
  <c r="O167" i="8"/>
  <c r="P183" i="1"/>
  <c r="I180" i="7"/>
  <c r="K180" i="7" s="1"/>
  <c r="O181" i="8"/>
  <c r="L389" i="8"/>
  <c r="O389" i="8" s="1"/>
  <c r="P88" i="7"/>
  <c r="P345" i="1"/>
  <c r="O183" i="8"/>
  <c r="P347" i="8"/>
  <c r="K364" i="5"/>
  <c r="O21" i="7"/>
  <c r="I65" i="8"/>
  <c r="K65" i="8" s="1"/>
  <c r="O263" i="8"/>
  <c r="L523" i="8"/>
  <c r="O523" i="8" s="1"/>
  <c r="O90" i="8"/>
  <c r="O347" i="8"/>
  <c r="L315" i="7"/>
  <c r="O315" i="7" s="1"/>
  <c r="L34" i="8"/>
  <c r="O34" i="8" s="1"/>
  <c r="O687" i="8"/>
  <c r="O421" i="8"/>
  <c r="M389" i="8"/>
  <c r="P389" i="8" s="1"/>
  <c r="P391" i="8"/>
  <c r="P44" i="7"/>
  <c r="M149" i="7"/>
  <c r="P149" i="7" s="1"/>
  <c r="M389" i="7"/>
  <c r="P389" i="7" s="1"/>
  <c r="P90" i="8"/>
  <c r="P345" i="8"/>
  <c r="M119" i="8"/>
  <c r="P119" i="8" s="1"/>
  <c r="M298" i="8"/>
  <c r="P298" i="8" s="1"/>
  <c r="P300" i="8"/>
  <c r="L13" i="8"/>
  <c r="L11" i="8" s="1"/>
  <c r="L20" i="8"/>
  <c r="L18" i="8" s="1"/>
  <c r="O23" i="8"/>
  <c r="O631" i="8"/>
  <c r="L629" i="8"/>
  <c r="O629" i="8" s="1"/>
  <c r="N53" i="8"/>
  <c r="O53" i="8" s="1"/>
  <c r="L16" i="8"/>
  <c r="O26" i="8"/>
  <c r="O419" i="8"/>
  <c r="L119" i="8"/>
  <c r="O119" i="8" s="1"/>
  <c r="O121" i="8"/>
  <c r="O351" i="8"/>
  <c r="P56" i="8"/>
  <c r="O56" i="8"/>
  <c r="L227" i="8"/>
  <c r="O238" i="8"/>
  <c r="P351" i="8"/>
  <c r="O19" i="8"/>
  <c r="N261" i="8"/>
  <c r="O261" i="8" s="1"/>
  <c r="N13" i="8"/>
  <c r="N11" i="8" s="1"/>
  <c r="N20" i="8"/>
  <c r="N18" i="8" s="1"/>
  <c r="L315" i="8"/>
  <c r="O315" i="8" s="1"/>
  <c r="O317" i="8"/>
  <c r="L66" i="7"/>
  <c r="O66" i="7" s="1"/>
  <c r="L389" i="7"/>
  <c r="O389" i="7" s="1"/>
  <c r="O687" i="7"/>
  <c r="M9" i="8"/>
  <c r="P12" i="8"/>
  <c r="M16" i="8"/>
  <c r="P26" i="8"/>
  <c r="N414" i="8"/>
  <c r="L277" i="8"/>
  <c r="O277" i="8" s="1"/>
  <c r="O279" i="8"/>
  <c r="M470" i="8"/>
  <c r="P470" i="8" s="1"/>
  <c r="M469" i="8"/>
  <c r="P472" i="8"/>
  <c r="L9" i="8"/>
  <c r="O12" i="8"/>
  <c r="M446" i="8"/>
  <c r="P449" i="8"/>
  <c r="M447" i="8"/>
  <c r="P447" i="8" s="1"/>
  <c r="P59" i="8"/>
  <c r="O59" i="8"/>
  <c r="L655" i="8"/>
  <c r="O655" i="8" s="1"/>
  <c r="L30" i="8"/>
  <c r="O33" i="8"/>
  <c r="M687" i="6"/>
  <c r="P687" i="6" s="1"/>
  <c r="O264" i="6"/>
  <c r="P19" i="8"/>
  <c r="N21" i="8"/>
  <c r="P21" i="8" s="1"/>
  <c r="O88" i="8"/>
  <c r="N16" i="8"/>
  <c r="N14" i="8" s="1"/>
  <c r="N24" i="8"/>
  <c r="P24" i="8" s="1"/>
  <c r="N30" i="8"/>
  <c r="N28" i="8" s="1"/>
  <c r="N31" i="8"/>
  <c r="L467" i="8"/>
  <c r="O467" i="8" s="1"/>
  <c r="O469" i="8"/>
  <c r="M328" i="8"/>
  <c r="P328" i="8" s="1"/>
  <c r="K237" i="8"/>
  <c r="I226" i="8"/>
  <c r="L21" i="8"/>
  <c r="O345" i="8"/>
  <c r="P134" i="8"/>
  <c r="M132" i="8"/>
  <c r="P132" i="8" s="1"/>
  <c r="O446" i="8"/>
  <c r="L444" i="8"/>
  <c r="O444" i="8" s="1"/>
  <c r="N41" i="8"/>
  <c r="P41" i="8" s="1"/>
  <c r="P43" i="8"/>
  <c r="L66" i="5"/>
  <c r="O66" i="5" s="1"/>
  <c r="N9" i="8"/>
  <c r="L31" i="8"/>
  <c r="P279" i="8"/>
  <c r="M277" i="8"/>
  <c r="P277" i="8" s="1"/>
  <c r="O55" i="8"/>
  <c r="M20" i="8"/>
  <c r="P23" i="8"/>
  <c r="P167" i="8"/>
  <c r="M165" i="8"/>
  <c r="P165" i="8" s="1"/>
  <c r="L24" i="8"/>
  <c r="M33" i="8"/>
  <c r="M421" i="8"/>
  <c r="M422" i="8"/>
  <c r="P422" i="8" s="1"/>
  <c r="P424" i="8"/>
  <c r="J417" i="8"/>
  <c r="K417" i="8" s="1"/>
  <c r="K433" i="8"/>
  <c r="I543" i="8"/>
  <c r="K543" i="8" s="1"/>
  <c r="K559" i="8"/>
  <c r="M687" i="8"/>
  <c r="P690" i="8"/>
  <c r="M688" i="8"/>
  <c r="P688" i="8" s="1"/>
  <c r="O134" i="5"/>
  <c r="L298" i="7"/>
  <c r="O298" i="7" s="1"/>
  <c r="M88" i="8"/>
  <c r="P88" i="8" s="1"/>
  <c r="M261" i="8"/>
  <c r="P263" i="8"/>
  <c r="M544" i="8"/>
  <c r="P544" i="8" s="1"/>
  <c r="P545" i="8"/>
  <c r="P183" i="8"/>
  <c r="M181" i="8"/>
  <c r="P181" i="8" s="1"/>
  <c r="L66" i="6"/>
  <c r="O66" i="6" s="1"/>
  <c r="O328" i="7"/>
  <c r="L132" i="7"/>
  <c r="O132" i="7" s="1"/>
  <c r="O43" i="7"/>
  <c r="O402" i="2"/>
  <c r="P183" i="5"/>
  <c r="P43" i="7"/>
  <c r="P347" i="7"/>
  <c r="O547" i="7"/>
  <c r="O330" i="7"/>
  <c r="O263" i="6"/>
  <c r="P168" i="6"/>
  <c r="P348" i="7"/>
  <c r="M119" i="7"/>
  <c r="P119" i="7" s="1"/>
  <c r="P165" i="7"/>
  <c r="I64" i="5"/>
  <c r="K64" i="5" s="1"/>
  <c r="P181" i="7"/>
  <c r="O348" i="7"/>
  <c r="L34" i="7"/>
  <c r="O34" i="7" s="1"/>
  <c r="L523" i="4"/>
  <c r="O523" i="4" s="1"/>
  <c r="L149" i="6"/>
  <c r="O149" i="6" s="1"/>
  <c r="N345" i="7"/>
  <c r="P345" i="7" s="1"/>
  <c r="P23" i="7"/>
  <c r="N685" i="7"/>
  <c r="O685" i="7" s="1"/>
  <c r="P279" i="7"/>
  <c r="M41" i="7"/>
  <c r="P41" i="7" s="1"/>
  <c r="N414" i="7"/>
  <c r="P183" i="7"/>
  <c r="P55" i="7"/>
  <c r="L227" i="7"/>
  <c r="O238" i="7"/>
  <c r="P472" i="7"/>
  <c r="M470" i="7"/>
  <c r="P470" i="7" s="1"/>
  <c r="M469" i="7"/>
  <c r="L419" i="7"/>
  <c r="O351" i="7"/>
  <c r="P549" i="7"/>
  <c r="M547" i="7"/>
  <c r="P547" i="7" s="1"/>
  <c r="M546" i="7"/>
  <c r="O151" i="7"/>
  <c r="L149" i="7"/>
  <c r="O149" i="7" s="1"/>
  <c r="P261" i="7"/>
  <c r="P43" i="6"/>
  <c r="M16" i="7"/>
  <c r="P26" i="7"/>
  <c r="O55" i="7"/>
  <c r="L53" i="7"/>
  <c r="O53" i="7" s="1"/>
  <c r="K174" i="7"/>
  <c r="I164" i="7"/>
  <c r="K164" i="7" s="1"/>
  <c r="M132" i="7"/>
  <c r="P132" i="7" s="1"/>
  <c r="P56" i="7"/>
  <c r="M328" i="7"/>
  <c r="P328" i="7" s="1"/>
  <c r="P330" i="7"/>
  <c r="K77" i="7"/>
  <c r="I65" i="7"/>
  <c r="K65" i="7" s="1"/>
  <c r="L261" i="7"/>
  <c r="O261" i="7" s="1"/>
  <c r="O263" i="7"/>
  <c r="N13" i="7"/>
  <c r="N20" i="7"/>
  <c r="L523" i="7"/>
  <c r="O523" i="7" s="1"/>
  <c r="P263" i="7"/>
  <c r="O446" i="7"/>
  <c r="M33" i="7"/>
  <c r="M421" i="7"/>
  <c r="P424" i="7"/>
  <c r="M422" i="7"/>
  <c r="P422" i="7" s="1"/>
  <c r="M20" i="7"/>
  <c r="M18" i="7" s="1"/>
  <c r="O546" i="7"/>
  <c r="O41" i="7"/>
  <c r="P53" i="7"/>
  <c r="L181" i="7"/>
  <c r="O181" i="7" s="1"/>
  <c r="O183" i="7"/>
  <c r="O544" i="7"/>
  <c r="N9" i="7"/>
  <c r="L345" i="7"/>
  <c r="O347" i="7"/>
  <c r="M66" i="7"/>
  <c r="P66" i="7" s="1"/>
  <c r="O15" i="7"/>
  <c r="M688" i="7"/>
  <c r="P688" i="7" s="1"/>
  <c r="M687" i="7"/>
  <c r="P690" i="7"/>
  <c r="O29" i="7"/>
  <c r="L30" i="7"/>
  <c r="O30" i="7" s="1"/>
  <c r="O33" i="7"/>
  <c r="K559" i="7"/>
  <c r="M469" i="3"/>
  <c r="P469" i="3" s="1"/>
  <c r="O300" i="3"/>
  <c r="L66" i="4"/>
  <c r="O66" i="4" s="1"/>
  <c r="M389" i="5"/>
  <c r="P389" i="5" s="1"/>
  <c r="L132" i="6"/>
  <c r="O132" i="6" s="1"/>
  <c r="I65" i="6"/>
  <c r="K65" i="6" s="1"/>
  <c r="M389" i="6"/>
  <c r="P389" i="6" s="1"/>
  <c r="O121" i="7"/>
  <c r="L119" i="7"/>
  <c r="O119" i="7" s="1"/>
  <c r="N18" i="7"/>
  <c r="N30" i="7"/>
  <c r="N31" i="7"/>
  <c r="O167" i="7"/>
  <c r="M402" i="7"/>
  <c r="P402" i="7" s="1"/>
  <c r="P404" i="7"/>
  <c r="P90" i="7"/>
  <c r="O19" i="7"/>
  <c r="O90" i="7"/>
  <c r="L277" i="7"/>
  <c r="O277" i="7" s="1"/>
  <c r="M298" i="7"/>
  <c r="P298" i="7" s="1"/>
  <c r="K433" i="7"/>
  <c r="P21" i="7"/>
  <c r="N28" i="7"/>
  <c r="P19" i="7"/>
  <c r="L467" i="7"/>
  <c r="O467" i="7" s="1"/>
  <c r="O469" i="7"/>
  <c r="N16" i="7"/>
  <c r="N14" i="7" s="1"/>
  <c r="N24" i="7"/>
  <c r="P24" i="7" s="1"/>
  <c r="L165" i="3"/>
  <c r="O165" i="3" s="1"/>
  <c r="L444" i="5"/>
  <c r="O444" i="5" s="1"/>
  <c r="P347" i="5"/>
  <c r="M657" i="6"/>
  <c r="M655" i="6" s="1"/>
  <c r="P655" i="6" s="1"/>
  <c r="L16" i="7"/>
  <c r="O16" i="7" s="1"/>
  <c r="O26" i="7"/>
  <c r="M9" i="7"/>
  <c r="P12" i="7"/>
  <c r="L13" i="7"/>
  <c r="L20" i="7"/>
  <c r="O23" i="7"/>
  <c r="L31" i="7"/>
  <c r="P167" i="7"/>
  <c r="M447" i="7"/>
  <c r="P447" i="7" s="1"/>
  <c r="M446" i="7"/>
  <c r="P449" i="7"/>
  <c r="O165" i="7"/>
  <c r="L9" i="7"/>
  <c r="O12" i="7"/>
  <c r="O88" i="7"/>
  <c r="K417" i="7"/>
  <c r="L629" i="7"/>
  <c r="O629" i="7" s="1"/>
  <c r="P121" i="5"/>
  <c r="M345" i="5"/>
  <c r="P345" i="5" s="1"/>
  <c r="P690" i="6"/>
  <c r="M298" i="6"/>
  <c r="P298" i="6" s="1"/>
  <c r="M315" i="5"/>
  <c r="P315" i="5" s="1"/>
  <c r="O90" i="6"/>
  <c r="P660" i="6"/>
  <c r="M149" i="6"/>
  <c r="P149" i="6" s="1"/>
  <c r="O687" i="6"/>
  <c r="L389" i="6"/>
  <c r="O389" i="6" s="1"/>
  <c r="L277" i="5"/>
  <c r="O277" i="5" s="1"/>
  <c r="L402" i="6"/>
  <c r="O402" i="6" s="1"/>
  <c r="L261" i="6"/>
  <c r="O261" i="6" s="1"/>
  <c r="L444" i="6"/>
  <c r="O444" i="6" s="1"/>
  <c r="O90" i="5"/>
  <c r="O629" i="5"/>
  <c r="N88" i="6"/>
  <c r="O88" i="6" s="1"/>
  <c r="M119" i="6"/>
  <c r="P119" i="6" s="1"/>
  <c r="M132" i="6"/>
  <c r="P132" i="6" s="1"/>
  <c r="P183" i="6"/>
  <c r="M33" i="6"/>
  <c r="M30" i="6" s="1"/>
  <c r="P30" i="6" s="1"/>
  <c r="M261" i="6"/>
  <c r="P261" i="6" s="1"/>
  <c r="L523" i="6"/>
  <c r="O523" i="6" s="1"/>
  <c r="P151" i="5"/>
  <c r="K434" i="6"/>
  <c r="N345" i="6"/>
  <c r="O345" i="6" s="1"/>
  <c r="I164" i="6"/>
  <c r="K174" i="6"/>
  <c r="O183" i="6"/>
  <c r="K433" i="6"/>
  <c r="M165" i="6"/>
  <c r="P165" i="6" s="1"/>
  <c r="O657" i="6"/>
  <c r="O121" i="6"/>
  <c r="L119" i="6"/>
  <c r="O119" i="6" s="1"/>
  <c r="P90" i="6"/>
  <c r="P167" i="6"/>
  <c r="L315" i="6"/>
  <c r="O315" i="6" s="1"/>
  <c r="K143" i="6"/>
  <c r="I131" i="6"/>
  <c r="K131" i="6" s="1"/>
  <c r="N414" i="6"/>
  <c r="O419" i="6"/>
  <c r="O421" i="5"/>
  <c r="O631" i="5"/>
  <c r="P29" i="6"/>
  <c r="P19" i="6"/>
  <c r="P56" i="6"/>
  <c r="O44" i="6"/>
  <c r="O347" i="6"/>
  <c r="L16" i="6"/>
  <c r="O26" i="6"/>
  <c r="L30" i="6"/>
  <c r="O33" i="6"/>
  <c r="M21" i="6"/>
  <c r="P21" i="6" s="1"/>
  <c r="M20" i="6"/>
  <c r="P23" i="6"/>
  <c r="O328" i="6"/>
  <c r="M315" i="6"/>
  <c r="P315" i="6" s="1"/>
  <c r="P317" i="6"/>
  <c r="O547" i="6"/>
  <c r="P631" i="6"/>
  <c r="M24" i="6"/>
  <c r="M16" i="6"/>
  <c r="P26" i="6"/>
  <c r="N9" i="6"/>
  <c r="O56" i="6"/>
  <c r="O167" i="6"/>
  <c r="L165" i="6"/>
  <c r="J364" i="6"/>
  <c r="K365" i="6"/>
  <c r="P9" i="6"/>
  <c r="N16" i="6"/>
  <c r="N14" i="6" s="1"/>
  <c r="N24" i="6"/>
  <c r="N30" i="6"/>
  <c r="N28" i="6" s="1"/>
  <c r="N31" i="6"/>
  <c r="O31" i="6" s="1"/>
  <c r="M41" i="6"/>
  <c r="M277" i="6"/>
  <c r="P277" i="6" s="1"/>
  <c r="P279" i="6"/>
  <c r="O19" i="6"/>
  <c r="P53" i="6"/>
  <c r="N13" i="6"/>
  <c r="N20" i="6"/>
  <c r="N18" i="6" s="1"/>
  <c r="I226" i="6"/>
  <c r="L786" i="6"/>
  <c r="O786" i="6" s="1"/>
  <c r="O788" i="6"/>
  <c r="L13" i="6"/>
  <c r="L11" i="6" s="1"/>
  <c r="L20" i="6"/>
  <c r="O23" i="6"/>
  <c r="M66" i="6"/>
  <c r="P66" i="6" s="1"/>
  <c r="L298" i="6"/>
  <c r="O298" i="6" s="1"/>
  <c r="O300" i="6"/>
  <c r="O43" i="6"/>
  <c r="L9" i="6"/>
  <c r="O12" i="6"/>
  <c r="K76" i="6"/>
  <c r="I64" i="6"/>
  <c r="K64" i="6" s="1"/>
  <c r="L467" i="6"/>
  <c r="O467" i="6" s="1"/>
  <c r="O469" i="6"/>
  <c r="P469" i="6"/>
  <c r="M467" i="6"/>
  <c r="P467" i="6" s="1"/>
  <c r="L132" i="4"/>
  <c r="O132" i="4" s="1"/>
  <c r="O300" i="5"/>
  <c r="P55" i="6"/>
  <c r="L34" i="6"/>
  <c r="O34" i="6" s="1"/>
  <c r="O181" i="6"/>
  <c r="L21" i="6"/>
  <c r="O21" i="6" s="1"/>
  <c r="P328" i="6"/>
  <c r="P545" i="6"/>
  <c r="M544" i="6"/>
  <c r="P544" i="6" s="1"/>
  <c r="L277" i="6"/>
  <c r="O277" i="6" s="1"/>
  <c r="O53" i="6"/>
  <c r="K76" i="4"/>
  <c r="O55" i="5"/>
  <c r="L34" i="5"/>
  <c r="O34" i="5" s="1"/>
  <c r="O41" i="6"/>
  <c r="P330" i="6"/>
  <c r="O238" i="6"/>
  <c r="L227" i="6"/>
  <c r="M345" i="6"/>
  <c r="P347" i="6"/>
  <c r="P44" i="6"/>
  <c r="O421" i="6"/>
  <c r="M181" i="6"/>
  <c r="P181" i="6" s="1"/>
  <c r="O470" i="6"/>
  <c r="O330" i="6"/>
  <c r="L544" i="6"/>
  <c r="O544" i="6" s="1"/>
  <c r="O546" i="6"/>
  <c r="M419" i="6"/>
  <c r="P421" i="6"/>
  <c r="L629" i="6"/>
  <c r="O629" i="6" s="1"/>
  <c r="O631" i="6"/>
  <c r="M402" i="6"/>
  <c r="P402" i="6" s="1"/>
  <c r="O55" i="6"/>
  <c r="L685" i="3"/>
  <c r="O685" i="3" s="1"/>
  <c r="P53" i="5"/>
  <c r="O263" i="3"/>
  <c r="P55" i="5"/>
  <c r="P88" i="5"/>
  <c r="O121" i="5"/>
  <c r="O330" i="5"/>
  <c r="P330" i="5"/>
  <c r="M66" i="5"/>
  <c r="P66" i="5" s="1"/>
  <c r="O347" i="5"/>
  <c r="L402" i="3"/>
  <c r="O402" i="3" s="1"/>
  <c r="M132" i="4"/>
  <c r="P132" i="4" s="1"/>
  <c r="O345" i="5"/>
  <c r="K364" i="4"/>
  <c r="P300" i="5"/>
  <c r="P90" i="5"/>
  <c r="M629" i="5"/>
  <c r="P629" i="5" s="1"/>
  <c r="P472" i="3"/>
  <c r="P470" i="3"/>
  <c r="O53" i="5"/>
  <c r="O263" i="4"/>
  <c r="O44" i="5"/>
  <c r="O167" i="5"/>
  <c r="P59" i="5"/>
  <c r="O348" i="5"/>
  <c r="M328" i="5"/>
  <c r="P328" i="5" s="1"/>
  <c r="O317" i="4"/>
  <c r="O165" i="5"/>
  <c r="P135" i="5"/>
  <c r="K669" i="1"/>
  <c r="P167" i="5"/>
  <c r="N298" i="5"/>
  <c r="P298" i="5" s="1"/>
  <c r="K433" i="5"/>
  <c r="P167" i="4"/>
  <c r="L119" i="5"/>
  <c r="O119" i="5" s="1"/>
  <c r="L132" i="5"/>
  <c r="O132" i="5" s="1"/>
  <c r="L389" i="5"/>
  <c r="O389" i="5" s="1"/>
  <c r="N419" i="5"/>
  <c r="O419" i="5" s="1"/>
  <c r="O547" i="5"/>
  <c r="L227" i="5"/>
  <c r="P331" i="5"/>
  <c r="O261" i="5"/>
  <c r="M132" i="5"/>
  <c r="P132" i="5" s="1"/>
  <c r="P134" i="5"/>
  <c r="M9" i="5"/>
  <c r="P12" i="5"/>
  <c r="O29" i="5"/>
  <c r="I226" i="5"/>
  <c r="K237" i="5"/>
  <c r="I65" i="5"/>
  <c r="K65" i="5" s="1"/>
  <c r="K77" i="5"/>
  <c r="O53" i="4"/>
  <c r="O544" i="4"/>
  <c r="M66" i="4"/>
  <c r="P66" i="4" s="1"/>
  <c r="P19" i="5"/>
  <c r="P44" i="5"/>
  <c r="L88" i="5"/>
  <c r="O88" i="5" s="1"/>
  <c r="O422" i="5"/>
  <c r="L315" i="5"/>
  <c r="O315" i="5" s="1"/>
  <c r="N21" i="5"/>
  <c r="O21" i="5" s="1"/>
  <c r="N13" i="5"/>
  <c r="N11" i="5" s="1"/>
  <c r="N20" i="5"/>
  <c r="N18" i="5" s="1"/>
  <c r="I418" i="5"/>
  <c r="K418" i="5" s="1"/>
  <c r="K434" i="5"/>
  <c r="K559" i="5"/>
  <c r="I543" i="5"/>
  <c r="K543" i="5" s="1"/>
  <c r="M546" i="5"/>
  <c r="M547" i="5"/>
  <c r="P547" i="5" s="1"/>
  <c r="P549" i="5"/>
  <c r="M16" i="5"/>
  <c r="P26" i="5"/>
  <c r="M24" i="5"/>
  <c r="M20" i="5"/>
  <c r="P23" i="5"/>
  <c r="L16" i="5"/>
  <c r="O26" i="5"/>
  <c r="L328" i="5"/>
  <c r="O328" i="5" s="1"/>
  <c r="L30" i="5"/>
  <c r="O33" i="5"/>
  <c r="O43" i="5"/>
  <c r="M119" i="5"/>
  <c r="P119" i="5" s="1"/>
  <c r="L149" i="5"/>
  <c r="O149" i="5" s="1"/>
  <c r="N30" i="5"/>
  <c r="N28" i="5" s="1"/>
  <c r="N31" i="5"/>
  <c r="O31" i="5" s="1"/>
  <c r="L786" i="5"/>
  <c r="O786" i="5" s="1"/>
  <c r="N16" i="5"/>
  <c r="N14" i="5" s="1"/>
  <c r="N24" i="5"/>
  <c r="O24" i="5" s="1"/>
  <c r="N9" i="5"/>
  <c r="P41" i="5"/>
  <c r="O41" i="5"/>
  <c r="P469" i="5"/>
  <c r="M467" i="5"/>
  <c r="P467" i="5" s="1"/>
  <c r="M402" i="5"/>
  <c r="P402" i="5" s="1"/>
  <c r="M181" i="5"/>
  <c r="P181" i="5" s="1"/>
  <c r="O90" i="4"/>
  <c r="M261" i="5"/>
  <c r="P261" i="5" s="1"/>
  <c r="P263" i="5"/>
  <c r="L13" i="5"/>
  <c r="L11" i="5" s="1"/>
  <c r="L20" i="5"/>
  <c r="L18" i="5" s="1"/>
  <c r="O23" i="5"/>
  <c r="O183" i="5"/>
  <c r="O19" i="5"/>
  <c r="O238" i="5"/>
  <c r="M165" i="5"/>
  <c r="P165" i="5" s="1"/>
  <c r="P422" i="5"/>
  <c r="M277" i="5"/>
  <c r="P277" i="5" s="1"/>
  <c r="L523" i="5"/>
  <c r="O523" i="5" s="1"/>
  <c r="O469" i="5"/>
  <c r="L467" i="5"/>
  <c r="L685" i="5"/>
  <c r="O685" i="5" s="1"/>
  <c r="L655" i="5"/>
  <c r="O655" i="5" s="1"/>
  <c r="O183" i="4"/>
  <c r="P43" i="5"/>
  <c r="O263" i="5"/>
  <c r="O181" i="5"/>
  <c r="L9" i="5"/>
  <c r="O12" i="5"/>
  <c r="O404" i="5"/>
  <c r="L402" i="5"/>
  <c r="O402" i="5" s="1"/>
  <c r="I131" i="5"/>
  <c r="K131" i="5" s="1"/>
  <c r="K143" i="5"/>
  <c r="M33" i="5"/>
  <c r="M13" i="5" s="1"/>
  <c r="P421" i="5"/>
  <c r="M419" i="5"/>
  <c r="O546" i="5"/>
  <c r="L544" i="5"/>
  <c r="O544" i="5" s="1"/>
  <c r="P43" i="3"/>
  <c r="O469" i="3"/>
  <c r="M149" i="4"/>
  <c r="P149" i="4" s="1"/>
  <c r="M298" i="4"/>
  <c r="P298" i="4" s="1"/>
  <c r="L227" i="4"/>
  <c r="N88" i="4"/>
  <c r="O88" i="4" s="1"/>
  <c r="N181" i="4"/>
  <c r="O181" i="4" s="1"/>
  <c r="O184" i="4"/>
  <c r="O56" i="4"/>
  <c r="P90" i="4"/>
  <c r="O167" i="4"/>
  <c r="L277" i="4"/>
  <c r="O277" i="4" s="1"/>
  <c r="P330" i="4"/>
  <c r="O318" i="3"/>
  <c r="P55" i="4"/>
  <c r="N165" i="4"/>
  <c r="P183" i="4"/>
  <c r="K77" i="2"/>
  <c r="P351" i="4"/>
  <c r="M165" i="4"/>
  <c r="P56" i="4"/>
  <c r="M315" i="4"/>
  <c r="P315" i="4" s="1"/>
  <c r="L419" i="3"/>
  <c r="N328" i="4"/>
  <c r="P328" i="4" s="1"/>
  <c r="P263" i="4"/>
  <c r="L149" i="4"/>
  <c r="O149" i="4" s="1"/>
  <c r="K364" i="2"/>
  <c r="P424" i="3"/>
  <c r="L629" i="4"/>
  <c r="O629" i="4" s="1"/>
  <c r="M277" i="4"/>
  <c r="P277" i="4" s="1"/>
  <c r="O469" i="4"/>
  <c r="O421" i="2"/>
  <c r="I164" i="3"/>
  <c r="K164" i="3" s="1"/>
  <c r="P300" i="3"/>
  <c r="P43" i="4"/>
  <c r="M402" i="4"/>
  <c r="P402" i="4" s="1"/>
  <c r="L389" i="4"/>
  <c r="O389" i="4" s="1"/>
  <c r="P55" i="3"/>
  <c r="L119" i="4"/>
  <c r="O119" i="4" s="1"/>
  <c r="L402" i="4"/>
  <c r="O402" i="4" s="1"/>
  <c r="O55" i="4"/>
  <c r="P421" i="4"/>
  <c r="O345" i="4"/>
  <c r="M181" i="4"/>
  <c r="P348" i="4"/>
  <c r="O43" i="4"/>
  <c r="M261" i="4"/>
  <c r="P261" i="4" s="1"/>
  <c r="K236" i="1"/>
  <c r="M547" i="4"/>
  <c r="P547" i="4" s="1"/>
  <c r="P549" i="4"/>
  <c r="L34" i="4"/>
  <c r="O34" i="4" s="1"/>
  <c r="P422" i="4"/>
  <c r="O261" i="4"/>
  <c r="O91" i="4"/>
  <c r="P345" i="4"/>
  <c r="P347" i="4"/>
  <c r="K248" i="4"/>
  <c r="I226" i="4"/>
  <c r="K174" i="4"/>
  <c r="I164" i="4"/>
  <c r="K164" i="4" s="1"/>
  <c r="M41" i="4"/>
  <c r="M20" i="4"/>
  <c r="M18" i="4" s="1"/>
  <c r="P23" i="4"/>
  <c r="M421" i="3"/>
  <c r="P421" i="3" s="1"/>
  <c r="O525" i="3"/>
  <c r="O41" i="4"/>
  <c r="N16" i="4"/>
  <c r="N14" i="4" s="1"/>
  <c r="N24" i="4"/>
  <c r="O19" i="4"/>
  <c r="O264" i="4"/>
  <c r="P264" i="4"/>
  <c r="L16" i="4"/>
  <c r="O26" i="4"/>
  <c r="M389" i="4"/>
  <c r="P389" i="4" s="1"/>
  <c r="O467" i="4"/>
  <c r="M447" i="4"/>
  <c r="P447" i="4" s="1"/>
  <c r="M446" i="4"/>
  <c r="P449" i="4"/>
  <c r="N13" i="4"/>
  <c r="N20" i="4"/>
  <c r="N18" i="4" s="1"/>
  <c r="J593" i="1"/>
  <c r="J592" i="1" s="1"/>
  <c r="K592" i="1" s="1"/>
  <c r="O315" i="3"/>
  <c r="M24" i="4"/>
  <c r="M16" i="4"/>
  <c r="P26" i="4"/>
  <c r="L30" i="4"/>
  <c r="O33" i="4"/>
  <c r="M33" i="4"/>
  <c r="M13" i="4" s="1"/>
  <c r="K77" i="4"/>
  <c r="I65" i="4"/>
  <c r="K65" i="4" s="1"/>
  <c r="L9" i="4"/>
  <c r="O12" i="4"/>
  <c r="M53" i="4"/>
  <c r="P53" i="4" s="1"/>
  <c r="L419" i="4"/>
  <c r="M419" i="4"/>
  <c r="J417" i="4"/>
  <c r="K417" i="4" s="1"/>
  <c r="K433" i="4"/>
  <c r="L298" i="4"/>
  <c r="N9" i="4"/>
  <c r="N21" i="4"/>
  <c r="O21" i="4" s="1"/>
  <c r="O330" i="4"/>
  <c r="L328" i="4"/>
  <c r="L444" i="4"/>
  <c r="O444" i="4" s="1"/>
  <c r="K434" i="4"/>
  <c r="I418" i="4"/>
  <c r="K418" i="4" s="1"/>
  <c r="N657" i="1"/>
  <c r="N655" i="1" s="1"/>
  <c r="P655" i="1" s="1"/>
  <c r="P660" i="1"/>
  <c r="O660" i="1"/>
  <c r="N298" i="3"/>
  <c r="P298" i="3" s="1"/>
  <c r="P29" i="4"/>
  <c r="M9" i="4"/>
  <c r="P12" i="4"/>
  <c r="N414" i="4"/>
  <c r="O546" i="4"/>
  <c r="M544" i="4"/>
  <c r="P544" i="4" s="1"/>
  <c r="O347" i="4"/>
  <c r="N53" i="3"/>
  <c r="P53" i="3" s="1"/>
  <c r="P19" i="4"/>
  <c r="L13" i="4"/>
  <c r="L20" i="4"/>
  <c r="O23" i="4"/>
  <c r="M119" i="4"/>
  <c r="P119" i="4" s="1"/>
  <c r="N30" i="4"/>
  <c r="N28" i="4" s="1"/>
  <c r="N31" i="4"/>
  <c r="O31" i="4" s="1"/>
  <c r="L24" i="4"/>
  <c r="K559" i="4"/>
  <c r="I543" i="4"/>
  <c r="K543" i="4" s="1"/>
  <c r="P467" i="4"/>
  <c r="N467" i="4"/>
  <c r="M21" i="4"/>
  <c r="O331" i="4"/>
  <c r="P331" i="4"/>
  <c r="L685" i="4"/>
  <c r="O685" i="4" s="1"/>
  <c r="M119" i="2"/>
  <c r="P119" i="2" s="1"/>
  <c r="P279" i="2"/>
  <c r="L34" i="3"/>
  <c r="O34" i="3" s="1"/>
  <c r="K288" i="3"/>
  <c r="K364" i="3"/>
  <c r="O631" i="2"/>
  <c r="P424" i="1"/>
  <c r="K434" i="2"/>
  <c r="K233" i="1"/>
  <c r="O56" i="2"/>
  <c r="K237" i="1"/>
  <c r="P261" i="1"/>
  <c r="P315" i="3"/>
  <c r="L298" i="3"/>
  <c r="P317" i="3"/>
  <c r="O43" i="1"/>
  <c r="L119" i="2"/>
  <c r="O119" i="2" s="1"/>
  <c r="O330" i="2"/>
  <c r="L467" i="2"/>
  <c r="O467" i="2" s="1"/>
  <c r="I64" i="2"/>
  <c r="K64" i="2" s="1"/>
  <c r="O317" i="3"/>
  <c r="P44" i="3"/>
  <c r="O328" i="3"/>
  <c r="N547" i="1"/>
  <c r="O547" i="1" s="1"/>
  <c r="L13" i="1"/>
  <c r="L11" i="1" s="1"/>
  <c r="P88" i="3"/>
  <c r="O59" i="3"/>
  <c r="P90" i="3"/>
  <c r="L629" i="3"/>
  <c r="O629" i="3" s="1"/>
  <c r="O634" i="1"/>
  <c r="N261" i="3"/>
  <c r="P261" i="3" s="1"/>
  <c r="O151" i="3"/>
  <c r="P549" i="1"/>
  <c r="L41" i="1"/>
  <c r="O41" i="1" s="1"/>
  <c r="P318" i="3"/>
  <c r="M119" i="3"/>
  <c r="P119" i="3" s="1"/>
  <c r="P263" i="3"/>
  <c r="N447" i="1"/>
  <c r="P447" i="1" s="1"/>
  <c r="M33" i="3"/>
  <c r="M30" i="3" s="1"/>
  <c r="O183" i="3"/>
  <c r="P68" i="3"/>
  <c r="O68" i="3"/>
  <c r="L13" i="3"/>
  <c r="L11" i="3" s="1"/>
  <c r="L20" i="3"/>
  <c r="L18" i="3" s="1"/>
  <c r="O23" i="3"/>
  <c r="P15" i="3"/>
  <c r="M328" i="3"/>
  <c r="P328" i="3" s="1"/>
  <c r="P330" i="3"/>
  <c r="L9" i="3"/>
  <c r="O12" i="3"/>
  <c r="P347" i="3"/>
  <c r="L227" i="3"/>
  <c r="L16" i="3"/>
  <c r="L24" i="3"/>
  <c r="O26" i="3"/>
  <c r="P21" i="3"/>
  <c r="N523" i="3"/>
  <c r="N414" i="3" s="1"/>
  <c r="O470" i="3"/>
  <c r="O279" i="3"/>
  <c r="L277" i="3"/>
  <c r="O277" i="3" s="1"/>
  <c r="K76" i="3"/>
  <c r="I64" i="3"/>
  <c r="K64" i="3" s="1"/>
  <c r="P149" i="2"/>
  <c r="P330" i="2"/>
  <c r="O404" i="2"/>
  <c r="O134" i="3"/>
  <c r="L132" i="3"/>
  <c r="O132" i="3" s="1"/>
  <c r="P134" i="3"/>
  <c r="M132" i="3"/>
  <c r="P132" i="3" s="1"/>
  <c r="M20" i="3"/>
  <c r="M18" i="3" s="1"/>
  <c r="P23" i="3"/>
  <c r="L345" i="3"/>
  <c r="O345" i="3" s="1"/>
  <c r="O347" i="3"/>
  <c r="L21" i="3"/>
  <c r="O21" i="3" s="1"/>
  <c r="O90" i="3"/>
  <c r="O419" i="3"/>
  <c r="J522" i="3"/>
  <c r="K522" i="3" s="1"/>
  <c r="K537" i="3"/>
  <c r="N16" i="3"/>
  <c r="N14" i="3" s="1"/>
  <c r="N24" i="3"/>
  <c r="K248" i="3"/>
  <c r="I226" i="3"/>
  <c r="M546" i="3"/>
  <c r="P546" i="3" s="1"/>
  <c r="P549" i="3"/>
  <c r="M547" i="3"/>
  <c r="P547" i="3" s="1"/>
  <c r="I65" i="3"/>
  <c r="K65" i="3" s="1"/>
  <c r="K77" i="3"/>
  <c r="O19" i="3"/>
  <c r="O544" i="3"/>
  <c r="O151" i="1"/>
  <c r="P167" i="3"/>
  <c r="M165" i="3"/>
  <c r="P165" i="3" s="1"/>
  <c r="P404" i="3"/>
  <c r="M402" i="3"/>
  <c r="P402" i="3" s="1"/>
  <c r="O44" i="3"/>
  <c r="J417" i="3"/>
  <c r="K417" i="3" s="1"/>
  <c r="K433" i="3"/>
  <c r="I543" i="3"/>
  <c r="K543" i="3" s="1"/>
  <c r="K559" i="3"/>
  <c r="K174" i="2"/>
  <c r="O391" i="2"/>
  <c r="P183" i="3"/>
  <c r="M181" i="3"/>
  <c r="P181" i="3" s="1"/>
  <c r="M16" i="3"/>
  <c r="M24" i="3"/>
  <c r="P26" i="3"/>
  <c r="O181" i="3"/>
  <c r="L119" i="3"/>
  <c r="O119" i="3" s="1"/>
  <c r="P29" i="3"/>
  <c r="N66" i="3"/>
  <c r="L149" i="3"/>
  <c r="O149" i="3" s="1"/>
  <c r="L389" i="3"/>
  <c r="O389" i="3" s="1"/>
  <c r="M9" i="3"/>
  <c r="L444" i="3"/>
  <c r="O444" i="3" s="1"/>
  <c r="O546" i="3"/>
  <c r="M389" i="3"/>
  <c r="P389" i="3" s="1"/>
  <c r="P391" i="3"/>
  <c r="O523" i="3"/>
  <c r="M149" i="3"/>
  <c r="P149" i="3" s="1"/>
  <c r="P151" i="3"/>
  <c r="M526" i="3"/>
  <c r="P526" i="3" s="1"/>
  <c r="M525" i="3"/>
  <c r="P528" i="3"/>
  <c r="P545" i="3"/>
  <c r="O424" i="1"/>
  <c r="N421" i="1"/>
  <c r="N419" i="1" s="1"/>
  <c r="P419" i="1" s="1"/>
  <c r="N227" i="1"/>
  <c r="P391" i="2"/>
  <c r="O43" i="3"/>
  <c r="N41" i="3"/>
  <c r="O41" i="3" s="1"/>
  <c r="P19" i="3"/>
  <c r="P59" i="3"/>
  <c r="P279" i="3"/>
  <c r="M277" i="3"/>
  <c r="P277" i="3" s="1"/>
  <c r="N13" i="3"/>
  <c r="N20" i="3"/>
  <c r="N18" i="3" s="1"/>
  <c r="L31" i="3"/>
  <c r="O33" i="3"/>
  <c r="L30" i="3"/>
  <c r="O138" i="3"/>
  <c r="P138" i="3"/>
  <c r="L88" i="3"/>
  <c r="O88" i="3" s="1"/>
  <c r="N31" i="3"/>
  <c r="I131" i="3"/>
  <c r="K131" i="3" s="1"/>
  <c r="K143" i="3"/>
  <c r="M345" i="3"/>
  <c r="P345" i="3" s="1"/>
  <c r="M446" i="3"/>
  <c r="P449" i="3"/>
  <c r="M447" i="3"/>
  <c r="P447" i="3" s="1"/>
  <c r="O55" i="3"/>
  <c r="L53" i="3"/>
  <c r="K434" i="3"/>
  <c r="I418" i="3"/>
  <c r="K418" i="3" s="1"/>
  <c r="O330" i="3"/>
  <c r="K675" i="1"/>
  <c r="P347" i="2"/>
  <c r="P347" i="1"/>
  <c r="O261" i="2"/>
  <c r="P546" i="1"/>
  <c r="O300" i="1"/>
  <c r="P90" i="2"/>
  <c r="L298" i="2"/>
  <c r="O298" i="2" s="1"/>
  <c r="O657" i="2"/>
  <c r="O68" i="2"/>
  <c r="P331" i="2"/>
  <c r="P68" i="2"/>
  <c r="P261" i="2"/>
  <c r="L544" i="2"/>
  <c r="O544" i="2" s="1"/>
  <c r="O44" i="1"/>
  <c r="M629" i="2"/>
  <c r="P629" i="2" s="1"/>
  <c r="P88" i="2"/>
  <c r="O23" i="1"/>
  <c r="I226" i="1"/>
  <c r="P121" i="1"/>
  <c r="P151" i="2"/>
  <c r="P389" i="2"/>
  <c r="O151" i="2"/>
  <c r="L149" i="2"/>
  <c r="O149" i="2" s="1"/>
  <c r="L20" i="1"/>
  <c r="L18" i="1" s="1"/>
  <c r="O549" i="1"/>
  <c r="P298" i="1"/>
  <c r="L227" i="1"/>
  <c r="O263" i="1"/>
  <c r="P317" i="2"/>
  <c r="M345" i="2"/>
  <c r="K654" i="1"/>
  <c r="L34" i="1"/>
  <c r="O34" i="1" s="1"/>
  <c r="P300" i="1"/>
  <c r="P263" i="1"/>
  <c r="P165" i="2"/>
  <c r="O523" i="2"/>
  <c r="O347" i="2"/>
  <c r="N446" i="1"/>
  <c r="P446" i="1" s="1"/>
  <c r="P55" i="2"/>
  <c r="N419" i="2"/>
  <c r="O389" i="2"/>
  <c r="L685" i="2"/>
  <c r="O685" i="2" s="1"/>
  <c r="P43" i="2"/>
  <c r="L34" i="2"/>
  <c r="O34" i="2" s="1"/>
  <c r="O547" i="2"/>
  <c r="O69" i="2"/>
  <c r="L132" i="2"/>
  <c r="O132" i="2" s="1"/>
  <c r="M632" i="2"/>
  <c r="P632" i="2" s="1"/>
  <c r="P634" i="2"/>
  <c r="L66" i="2"/>
  <c r="O66" i="2" s="1"/>
  <c r="N24" i="2"/>
  <c r="O24" i="2" s="1"/>
  <c r="N345" i="2"/>
  <c r="O345" i="2" s="1"/>
  <c r="P43" i="1"/>
  <c r="L165" i="2"/>
  <c r="O165" i="2" s="1"/>
  <c r="O167" i="2"/>
  <c r="M33" i="2"/>
  <c r="M13" i="2" s="1"/>
  <c r="M421" i="2"/>
  <c r="P424" i="2"/>
  <c r="M422" i="2"/>
  <c r="P422" i="2" s="1"/>
  <c r="J522" i="2"/>
  <c r="K522" i="2" s="1"/>
  <c r="K537" i="2"/>
  <c r="L328" i="2"/>
  <c r="O328" i="2" s="1"/>
  <c r="O29" i="2"/>
  <c r="L16" i="2"/>
  <c r="O26" i="2"/>
  <c r="P167" i="2"/>
  <c r="O43" i="2"/>
  <c r="O238" i="2"/>
  <c r="L227" i="2"/>
  <c r="M277" i="2"/>
  <c r="P277" i="2" s="1"/>
  <c r="N414" i="2"/>
  <c r="L30" i="2"/>
  <c r="O33" i="2"/>
  <c r="O525" i="2"/>
  <c r="O277" i="2"/>
  <c r="O419" i="2"/>
  <c r="N13" i="2"/>
  <c r="N10" i="2" s="1"/>
  <c r="N20" i="2"/>
  <c r="N18" i="2" s="1"/>
  <c r="M16" i="2"/>
  <c r="M24" i="2"/>
  <c r="P26" i="2"/>
  <c r="I226" i="2"/>
  <c r="K237" i="2"/>
  <c r="P280" i="1"/>
  <c r="O315" i="1"/>
  <c r="O347" i="1"/>
  <c r="O317" i="1"/>
  <c r="M41" i="2"/>
  <c r="M132" i="2"/>
  <c r="P132" i="2" s="1"/>
  <c r="O55" i="2"/>
  <c r="P181" i="2"/>
  <c r="O53" i="2"/>
  <c r="O263" i="2"/>
  <c r="N21" i="2"/>
  <c r="K143" i="2"/>
  <c r="I131" i="2"/>
  <c r="K131" i="2" s="1"/>
  <c r="N315" i="2"/>
  <c r="O315" i="2" s="1"/>
  <c r="M21" i="2"/>
  <c r="M20" i="2"/>
  <c r="M18" i="2" s="1"/>
  <c r="P23" i="2"/>
  <c r="O317" i="2"/>
  <c r="K433" i="2"/>
  <c r="O279" i="2"/>
  <c r="M470" i="2"/>
  <c r="P470" i="2" s="1"/>
  <c r="M469" i="2"/>
  <c r="P472" i="2"/>
  <c r="P391" i="1"/>
  <c r="O217" i="1"/>
  <c r="N30" i="2"/>
  <c r="N28" i="2" s="1"/>
  <c r="N31" i="2"/>
  <c r="O31" i="2" s="1"/>
  <c r="M66" i="2"/>
  <c r="P66" i="2" s="1"/>
  <c r="M402" i="2"/>
  <c r="P402" i="2" s="1"/>
  <c r="P404" i="2"/>
  <c r="O19" i="2"/>
  <c r="P56" i="2"/>
  <c r="P9" i="2"/>
  <c r="O41" i="2"/>
  <c r="M546" i="2"/>
  <c r="P546" i="2" s="1"/>
  <c r="P549" i="2"/>
  <c r="M547" i="2"/>
  <c r="P547" i="2" s="1"/>
  <c r="P545" i="2"/>
  <c r="M53" i="2"/>
  <c r="P53" i="2" s="1"/>
  <c r="P183" i="2"/>
  <c r="K417" i="2"/>
  <c r="M24" i="1"/>
  <c r="O55" i="1"/>
  <c r="P19" i="2"/>
  <c r="N9" i="2"/>
  <c r="P263" i="2"/>
  <c r="M526" i="2"/>
  <c r="P526" i="2" s="1"/>
  <c r="M525" i="2"/>
  <c r="P528" i="2"/>
  <c r="L88" i="2"/>
  <c r="O88" i="2" s="1"/>
  <c r="O90" i="2"/>
  <c r="L9" i="2"/>
  <c r="O12" i="2"/>
  <c r="O280" i="2"/>
  <c r="P280" i="2"/>
  <c r="O348" i="2"/>
  <c r="P348" i="2"/>
  <c r="O183" i="2"/>
  <c r="M298" i="2"/>
  <c r="P298" i="2" s="1"/>
  <c r="L149" i="1"/>
  <c r="O149" i="1" s="1"/>
  <c r="P29" i="2"/>
  <c r="L13" i="2"/>
  <c r="L11" i="2" s="1"/>
  <c r="L20" i="2"/>
  <c r="O23" i="2"/>
  <c r="L21" i="2"/>
  <c r="O351" i="2"/>
  <c r="P351" i="2"/>
  <c r="O181" i="2"/>
  <c r="L444" i="2"/>
  <c r="O444" i="2" s="1"/>
  <c r="K559" i="2"/>
  <c r="J543" i="2"/>
  <c r="K543" i="2" s="1"/>
  <c r="L298" i="1"/>
  <c r="O298" i="1" s="1"/>
  <c r="O331" i="1"/>
  <c r="M20" i="1"/>
  <c r="M18" i="1" s="1"/>
  <c r="O209" i="1"/>
  <c r="P404" i="1"/>
  <c r="L261" i="1"/>
  <c r="O261" i="1" s="1"/>
  <c r="O183" i="1"/>
  <c r="P658" i="1"/>
  <c r="L345" i="1"/>
  <c r="O345" i="1" s="1"/>
  <c r="P449" i="1"/>
  <c r="P472" i="1"/>
  <c r="O330" i="1"/>
  <c r="K112" i="1"/>
  <c r="O658" i="1"/>
  <c r="N469" i="1"/>
  <c r="O469" i="1" s="1"/>
  <c r="N688" i="1"/>
  <c r="P688" i="1" s="1"/>
  <c r="L30" i="1"/>
  <c r="L28" i="1" s="1"/>
  <c r="P690" i="1"/>
  <c r="O66" i="1"/>
  <c r="P328" i="1"/>
  <c r="M389" i="1"/>
  <c r="P389" i="1" s="1"/>
  <c r="O238" i="1"/>
  <c r="N181" i="1"/>
  <c r="P181" i="1" s="1"/>
  <c r="O402" i="1"/>
  <c r="L328" i="1"/>
  <c r="O328" i="1" s="1"/>
  <c r="O198" i="1"/>
  <c r="P132" i="1"/>
  <c r="P330" i="1"/>
  <c r="P422" i="1"/>
  <c r="M21" i="1"/>
  <c r="J594" i="1"/>
  <c r="K594" i="1" s="1"/>
  <c r="M149" i="1"/>
  <c r="P149" i="1" s="1"/>
  <c r="P151" i="1"/>
  <c r="P351" i="1"/>
  <c r="O279" i="1"/>
  <c r="N687" i="1"/>
  <c r="P687" i="1" s="1"/>
  <c r="P634" i="1"/>
  <c r="O121" i="1"/>
  <c r="O125" i="1"/>
  <c r="N632" i="1"/>
  <c r="P632" i="1" s="1"/>
  <c r="P44" i="1"/>
  <c r="L277" i="1"/>
  <c r="O277" i="1" s="1"/>
  <c r="N119" i="1"/>
  <c r="O119" i="1" s="1"/>
  <c r="P134" i="1"/>
  <c r="M315" i="1"/>
  <c r="P315" i="1" s="1"/>
  <c r="P317" i="1"/>
  <c r="P152" i="1"/>
  <c r="P26" i="1"/>
  <c r="O404" i="1"/>
  <c r="L24" i="1"/>
  <c r="L16" i="1"/>
  <c r="L14" i="1" s="1"/>
  <c r="I131" i="1"/>
  <c r="K131" i="1" s="1"/>
  <c r="O26" i="1"/>
  <c r="O472" i="1"/>
  <c r="P301" i="1"/>
  <c r="L31" i="1"/>
  <c r="O88" i="1"/>
  <c r="P88" i="1"/>
  <c r="N165" i="1"/>
  <c r="O165" i="1" s="1"/>
  <c r="O167" i="1"/>
  <c r="K174" i="1"/>
  <c r="I164" i="1"/>
  <c r="K164" i="1" s="1"/>
  <c r="N788" i="1"/>
  <c r="N786" i="1" s="1"/>
  <c r="N789" i="1"/>
  <c r="P631" i="1"/>
  <c r="N629" i="1"/>
  <c r="P629" i="1" s="1"/>
  <c r="P41" i="1"/>
  <c r="P66" i="1"/>
  <c r="P55" i="1"/>
  <c r="P167" i="1"/>
  <c r="O9" i="1"/>
  <c r="O788" i="1"/>
  <c r="L786" i="1"/>
  <c r="O786" i="1" s="1"/>
  <c r="M544" i="1"/>
  <c r="P544" i="1" s="1"/>
  <c r="P29" i="1"/>
  <c r="P279" i="1"/>
  <c r="M277" i="1"/>
  <c r="P277" i="1" s="1"/>
  <c r="O134" i="1"/>
  <c r="L132" i="1"/>
  <c r="O132" i="1" s="1"/>
  <c r="J559" i="1"/>
  <c r="K576" i="1"/>
  <c r="P69" i="1"/>
  <c r="O69" i="1"/>
  <c r="K76" i="1"/>
  <c r="I64" i="1"/>
  <c r="K64" i="1" s="1"/>
  <c r="I418" i="1"/>
  <c r="K418" i="1" s="1"/>
  <c r="K434" i="1"/>
  <c r="P402" i="1"/>
  <c r="J364" i="1"/>
  <c r="K364" i="1" s="1"/>
  <c r="N53" i="1"/>
  <c r="N20" i="1"/>
  <c r="N21" i="1"/>
  <c r="O21" i="1" s="1"/>
  <c r="P23" i="1"/>
  <c r="N16" i="1"/>
  <c r="P16" i="1" s="1"/>
  <c r="N24" i="1"/>
  <c r="P90" i="1"/>
  <c r="O90" i="1"/>
  <c r="P68" i="1"/>
  <c r="O68" i="1"/>
  <c r="O91" i="1"/>
  <c r="P91" i="1"/>
  <c r="M685" i="1"/>
  <c r="I417" i="1"/>
  <c r="K417" i="1" s="1"/>
  <c r="K433" i="1"/>
  <c r="O528" i="1"/>
  <c r="N525" i="1"/>
  <c r="M528" i="1"/>
  <c r="N33" i="1"/>
  <c r="N13" i="1" s="1"/>
  <c r="N526" i="1"/>
  <c r="O526" i="1" s="1"/>
  <c r="O631" i="1"/>
  <c r="M14" i="1"/>
  <c r="P15" i="1"/>
  <c r="M9" i="1"/>
  <c r="L544" i="1"/>
  <c r="O544" i="1" s="1"/>
  <c r="O546" i="1"/>
  <c r="L419" i="1"/>
  <c r="P470" i="1"/>
  <c r="P184" i="1"/>
  <c r="O391" i="1"/>
  <c r="L389" i="1"/>
  <c r="O389" i="1" s="1"/>
  <c r="K77" i="1"/>
  <c r="I65" i="1"/>
  <c r="K65" i="1" s="1"/>
  <c r="P168" i="1"/>
  <c r="M467" i="14" l="1"/>
  <c r="M414" i="14" s="1"/>
  <c r="P88" i="6"/>
  <c r="M444" i="13"/>
  <c r="P444" i="13" s="1"/>
  <c r="M13" i="14"/>
  <c r="P13" i="14" s="1"/>
  <c r="P31" i="14"/>
  <c r="P33" i="14"/>
  <c r="M30" i="14"/>
  <c r="M28" i="14" s="1"/>
  <c r="P28" i="14" s="1"/>
  <c r="M544" i="11"/>
  <c r="P544" i="11" s="1"/>
  <c r="O328" i="13"/>
  <c r="P165" i="15"/>
  <c r="O20" i="15"/>
  <c r="N37" i="15"/>
  <c r="P657" i="13"/>
  <c r="P20" i="8"/>
  <c r="I180" i="12"/>
  <c r="K180" i="12" s="1"/>
  <c r="O21" i="15"/>
  <c r="N37" i="14"/>
  <c r="P20" i="15"/>
  <c r="P66" i="15"/>
  <c r="O41" i="14"/>
  <c r="O181" i="15"/>
  <c r="O16" i="15"/>
  <c r="L14" i="15"/>
  <c r="O14" i="15" s="1"/>
  <c r="L28" i="15"/>
  <c r="P16" i="15"/>
  <c r="M14" i="15"/>
  <c r="P14" i="15" s="1"/>
  <c r="M37" i="15"/>
  <c r="M30" i="15"/>
  <c r="P33" i="15"/>
  <c r="M31" i="15"/>
  <c r="N444" i="15"/>
  <c r="P446" i="15"/>
  <c r="M18" i="15"/>
  <c r="P18" i="15" s="1"/>
  <c r="P525" i="15"/>
  <c r="M523" i="15"/>
  <c r="P523" i="15" s="1"/>
  <c r="L10" i="15"/>
  <c r="L8" i="15" s="1"/>
  <c r="O13" i="15"/>
  <c r="O9" i="15"/>
  <c r="M13" i="15"/>
  <c r="O66" i="15"/>
  <c r="L18" i="15"/>
  <c r="O18" i="15" s="1"/>
  <c r="O419" i="15"/>
  <c r="L414" i="15"/>
  <c r="P469" i="15"/>
  <c r="M467" i="15"/>
  <c r="P467" i="15" s="1"/>
  <c r="N10" i="15"/>
  <c r="N8" i="15" s="1"/>
  <c r="N11" i="15"/>
  <c r="O11" i="15" s="1"/>
  <c r="N30" i="15"/>
  <c r="N28" i="15" s="1"/>
  <c r="N31" i="15"/>
  <c r="O31" i="15" s="1"/>
  <c r="P421" i="15"/>
  <c r="M419" i="15"/>
  <c r="K226" i="15"/>
  <c r="I180" i="15"/>
  <c r="K180" i="15" s="1"/>
  <c r="P9" i="15"/>
  <c r="L37" i="15"/>
  <c r="P447" i="15"/>
  <c r="O447" i="15"/>
  <c r="O24" i="14"/>
  <c r="P31" i="12"/>
  <c r="M467" i="13"/>
  <c r="P467" i="13" s="1"/>
  <c r="O88" i="14"/>
  <c r="P33" i="12"/>
  <c r="M30" i="12"/>
  <c r="M28" i="12" s="1"/>
  <c r="P28" i="12" s="1"/>
  <c r="M13" i="12"/>
  <c r="M11" i="12" s="1"/>
  <c r="O18" i="14"/>
  <c r="O16" i="14"/>
  <c r="O53" i="14"/>
  <c r="L37" i="14"/>
  <c r="N10" i="14"/>
  <c r="N8" i="14" s="1"/>
  <c r="L14" i="14"/>
  <c r="O14" i="14" s="1"/>
  <c r="O9" i="14"/>
  <c r="P88" i="14"/>
  <c r="O20" i="14"/>
  <c r="P16" i="14"/>
  <c r="M14" i="14"/>
  <c r="P14" i="14" s="1"/>
  <c r="N414" i="14"/>
  <c r="O467" i="14"/>
  <c r="L10" i="14"/>
  <c r="O13" i="14"/>
  <c r="P9" i="14"/>
  <c r="O30" i="14"/>
  <c r="P20" i="14"/>
  <c r="O544" i="14"/>
  <c r="L414" i="14"/>
  <c r="N11" i="14"/>
  <c r="O11" i="14" s="1"/>
  <c r="M18" i="14"/>
  <c r="P18" i="14" s="1"/>
  <c r="M37" i="14"/>
  <c r="N37" i="13"/>
  <c r="O88" i="13"/>
  <c r="P24" i="13"/>
  <c r="O88" i="11"/>
  <c r="O11" i="13"/>
  <c r="M10" i="13"/>
  <c r="M8" i="13" s="1"/>
  <c r="P13" i="13"/>
  <c r="M11" i="13"/>
  <c r="P11" i="13" s="1"/>
  <c r="O132" i="13"/>
  <c r="L37" i="13"/>
  <c r="L28" i="13"/>
  <c r="O28" i="13" s="1"/>
  <c r="N10" i="13"/>
  <c r="N8" i="13" s="1"/>
  <c r="P419" i="13"/>
  <c r="N414" i="13"/>
  <c r="O9" i="13"/>
  <c r="P655" i="13"/>
  <c r="P546" i="13"/>
  <c r="M544" i="13"/>
  <c r="P544" i="13" s="1"/>
  <c r="M30" i="9"/>
  <c r="P30" i="9" s="1"/>
  <c r="M655" i="11"/>
  <c r="P655" i="11" s="1"/>
  <c r="P16" i="13"/>
  <c r="M14" i="13"/>
  <c r="P14" i="13" s="1"/>
  <c r="P20" i="13"/>
  <c r="O419" i="13"/>
  <c r="L414" i="13"/>
  <c r="P525" i="13"/>
  <c r="M523" i="13"/>
  <c r="P523" i="13" s="1"/>
  <c r="P41" i="13"/>
  <c r="M37" i="13"/>
  <c r="O18" i="13"/>
  <c r="O16" i="13"/>
  <c r="L14" i="13"/>
  <c r="O14" i="13" s="1"/>
  <c r="K226" i="13"/>
  <c r="I180" i="13"/>
  <c r="K180" i="13" s="1"/>
  <c r="O20" i="13"/>
  <c r="P18" i="13"/>
  <c r="P9" i="13"/>
  <c r="M31" i="13"/>
  <c r="P31" i="13" s="1"/>
  <c r="M30" i="13"/>
  <c r="P33" i="13"/>
  <c r="L10" i="13"/>
  <c r="O13" i="13"/>
  <c r="O261" i="12"/>
  <c r="O14" i="12"/>
  <c r="N37" i="12"/>
  <c r="P18" i="11"/>
  <c r="L28" i="12"/>
  <c r="O28" i="12" s="1"/>
  <c r="O53" i="12"/>
  <c r="M37" i="12"/>
  <c r="O9" i="12"/>
  <c r="P16" i="12"/>
  <c r="M14" i="12"/>
  <c r="P14" i="12" s="1"/>
  <c r="O31" i="12"/>
  <c r="O20" i="12"/>
  <c r="N10" i="12"/>
  <c r="N8" i="12" s="1"/>
  <c r="L18" i="12"/>
  <c r="O18" i="12" s="1"/>
  <c r="N11" i="12"/>
  <c r="O11" i="12" s="1"/>
  <c r="P20" i="12"/>
  <c r="L10" i="12"/>
  <c r="L8" i="12" s="1"/>
  <c r="O13" i="12"/>
  <c r="P469" i="12"/>
  <c r="M467" i="12"/>
  <c r="P467" i="12" s="1"/>
  <c r="P446" i="12"/>
  <c r="M444" i="12"/>
  <c r="P444" i="12" s="1"/>
  <c r="P419" i="12"/>
  <c r="O24" i="12"/>
  <c r="O16" i="12"/>
  <c r="L37" i="12"/>
  <c r="L414" i="12"/>
  <c r="O414" i="12" s="1"/>
  <c r="O419" i="12"/>
  <c r="P18" i="12"/>
  <c r="O20" i="11"/>
  <c r="P9" i="12"/>
  <c r="P33" i="9"/>
  <c r="M13" i="9"/>
  <c r="M11" i="9" s="1"/>
  <c r="N37" i="11"/>
  <c r="M655" i="9"/>
  <c r="P655" i="9" s="1"/>
  <c r="N10" i="4"/>
  <c r="N8" i="4" s="1"/>
  <c r="N10" i="11"/>
  <c r="N8" i="11" s="1"/>
  <c r="O181" i="11"/>
  <c r="P24" i="11"/>
  <c r="O30" i="11"/>
  <c r="M419" i="11"/>
  <c r="P421" i="11"/>
  <c r="L37" i="11"/>
  <c r="P16" i="11"/>
  <c r="M14" i="11"/>
  <c r="P14" i="11" s="1"/>
  <c r="K226" i="11"/>
  <c r="I180" i="11"/>
  <c r="K180" i="11" s="1"/>
  <c r="M30" i="11"/>
  <c r="M31" i="11"/>
  <c r="P31" i="11" s="1"/>
  <c r="P33" i="11"/>
  <c r="O28" i="11"/>
  <c r="O16" i="11"/>
  <c r="L14" i="11"/>
  <c r="O14" i="11" s="1"/>
  <c r="L10" i="11"/>
  <c r="O13" i="11"/>
  <c r="O24" i="11"/>
  <c r="N11" i="11"/>
  <c r="O11" i="11" s="1"/>
  <c r="L18" i="11"/>
  <c r="O18" i="11" s="1"/>
  <c r="L414" i="11"/>
  <c r="O414" i="11" s="1"/>
  <c r="O419" i="11"/>
  <c r="P20" i="11"/>
  <c r="M37" i="11"/>
  <c r="P181" i="11"/>
  <c r="O9" i="11"/>
  <c r="M13" i="11"/>
  <c r="P20" i="10"/>
  <c r="N8" i="10"/>
  <c r="M467" i="10"/>
  <c r="P467" i="10" s="1"/>
  <c r="P469" i="10"/>
  <c r="O14" i="9"/>
  <c r="M10" i="10"/>
  <c r="P10" i="10" s="1"/>
  <c r="P13" i="10"/>
  <c r="M11" i="10"/>
  <c r="O16" i="10"/>
  <c r="L14" i="10"/>
  <c r="O14" i="10" s="1"/>
  <c r="M467" i="3"/>
  <c r="P467" i="3" s="1"/>
  <c r="O24" i="10"/>
  <c r="O9" i="10"/>
  <c r="P66" i="10"/>
  <c r="M37" i="10"/>
  <c r="P37" i="10" s="1"/>
  <c r="N11" i="10"/>
  <c r="O11" i="10" s="1"/>
  <c r="O20" i="10"/>
  <c r="P421" i="10"/>
  <c r="M419" i="10"/>
  <c r="L414" i="10"/>
  <c r="O414" i="10" s="1"/>
  <c r="I180" i="10"/>
  <c r="K180" i="10" s="1"/>
  <c r="K226" i="10"/>
  <c r="L10" i="10"/>
  <c r="O10" i="10" s="1"/>
  <c r="O13" i="10"/>
  <c r="O18" i="10"/>
  <c r="L28" i="10"/>
  <c r="O28" i="10" s="1"/>
  <c r="M30" i="10"/>
  <c r="M31" i="10"/>
  <c r="P31" i="10" s="1"/>
  <c r="P33" i="10"/>
  <c r="M18" i="10"/>
  <c r="P18" i="10" s="1"/>
  <c r="M544" i="9"/>
  <c r="P544" i="9" s="1"/>
  <c r="O328" i="9"/>
  <c r="P24" i="10"/>
  <c r="O21" i="10"/>
  <c r="L37" i="10"/>
  <c r="O37" i="10" s="1"/>
  <c r="P9" i="10"/>
  <c r="P16" i="10"/>
  <c r="M14" i="10"/>
  <c r="P14" i="10" s="1"/>
  <c r="M655" i="7"/>
  <c r="P655" i="7" s="1"/>
  <c r="P261" i="8"/>
  <c r="O88" i="9"/>
  <c r="P66" i="9"/>
  <c r="M685" i="6"/>
  <c r="P685" i="6" s="1"/>
  <c r="O18" i="9"/>
  <c r="P41" i="9"/>
  <c r="M37" i="9"/>
  <c r="O53" i="9"/>
  <c r="P24" i="9"/>
  <c r="L37" i="9"/>
  <c r="L414" i="9"/>
  <c r="O414" i="9" s="1"/>
  <c r="O419" i="9"/>
  <c r="K226" i="9"/>
  <c r="I180" i="9"/>
  <c r="K180" i="9" s="1"/>
  <c r="P16" i="9"/>
  <c r="M14" i="9"/>
  <c r="P14" i="9" s="1"/>
  <c r="L10" i="9"/>
  <c r="O13" i="9"/>
  <c r="N10" i="9"/>
  <c r="N8" i="9" s="1"/>
  <c r="P20" i="9"/>
  <c r="L28" i="9"/>
  <c r="O28" i="9" s="1"/>
  <c r="O9" i="9"/>
  <c r="L11" i="9"/>
  <c r="N11" i="9"/>
  <c r="N37" i="9"/>
  <c r="O261" i="9"/>
  <c r="M18" i="9"/>
  <c r="P18" i="9" s="1"/>
  <c r="P9" i="9"/>
  <c r="O16" i="9"/>
  <c r="O20" i="9"/>
  <c r="O24" i="8"/>
  <c r="O11" i="8"/>
  <c r="O31" i="8"/>
  <c r="M37" i="8"/>
  <c r="L37" i="8"/>
  <c r="K226" i="8"/>
  <c r="I180" i="8"/>
  <c r="K180" i="8" s="1"/>
  <c r="M18" i="8"/>
  <c r="P18" i="8" s="1"/>
  <c r="P446" i="8"/>
  <c r="M444" i="8"/>
  <c r="P444" i="8" s="1"/>
  <c r="O20" i="7"/>
  <c r="M30" i="8"/>
  <c r="P33" i="8"/>
  <c r="M31" i="8"/>
  <c r="P31" i="8" s="1"/>
  <c r="M13" i="8"/>
  <c r="P16" i="8"/>
  <c r="M14" i="8"/>
  <c r="P14" i="8" s="1"/>
  <c r="N10" i="8"/>
  <c r="N8" i="8" s="1"/>
  <c r="L414" i="8"/>
  <c r="O414" i="8" s="1"/>
  <c r="P469" i="8"/>
  <c r="M467" i="8"/>
  <c r="P467" i="8" s="1"/>
  <c r="P53" i="8"/>
  <c r="O9" i="8"/>
  <c r="P687" i="8"/>
  <c r="M685" i="8"/>
  <c r="P685" i="8" s="1"/>
  <c r="P421" i="8"/>
  <c r="M419" i="8"/>
  <c r="O30" i="8"/>
  <c r="L28" i="8"/>
  <c r="O28" i="8" s="1"/>
  <c r="O20" i="8"/>
  <c r="N37" i="8"/>
  <c r="O21" i="8"/>
  <c r="O41" i="8"/>
  <c r="P9" i="8"/>
  <c r="O18" i="8"/>
  <c r="O16" i="8"/>
  <c r="L14" i="8"/>
  <c r="O14" i="8" s="1"/>
  <c r="L10" i="8"/>
  <c r="O13" i="8"/>
  <c r="N37" i="7"/>
  <c r="O345" i="7"/>
  <c r="P18" i="7"/>
  <c r="N10" i="7"/>
  <c r="N8" i="7" s="1"/>
  <c r="N11" i="7"/>
  <c r="P446" i="7"/>
  <c r="M444" i="7"/>
  <c r="P444" i="7" s="1"/>
  <c r="L10" i="7"/>
  <c r="O13" i="7"/>
  <c r="M419" i="7"/>
  <c r="P421" i="7"/>
  <c r="P657" i="6"/>
  <c r="L14" i="7"/>
  <c r="O14" i="7" s="1"/>
  <c r="L37" i="7"/>
  <c r="M30" i="7"/>
  <c r="P33" i="7"/>
  <c r="M13" i="7"/>
  <c r="M31" i="7"/>
  <c r="P31" i="7" s="1"/>
  <c r="L414" i="7"/>
  <c r="O414" i="7" s="1"/>
  <c r="O419" i="7"/>
  <c r="M13" i="6"/>
  <c r="M11" i="6" s="1"/>
  <c r="O9" i="7"/>
  <c r="L28" i="7"/>
  <c r="O28" i="7" s="1"/>
  <c r="P16" i="7"/>
  <c r="M14" i="7"/>
  <c r="P14" i="7" s="1"/>
  <c r="O24" i="7"/>
  <c r="L11" i="7"/>
  <c r="O31" i="7"/>
  <c r="P9" i="7"/>
  <c r="P20" i="7"/>
  <c r="P546" i="7"/>
  <c r="M544" i="7"/>
  <c r="P544" i="7" s="1"/>
  <c r="P469" i="7"/>
  <c r="M467" i="7"/>
  <c r="P467" i="7" s="1"/>
  <c r="P687" i="7"/>
  <c r="M685" i="7"/>
  <c r="P685" i="7" s="1"/>
  <c r="M31" i="6"/>
  <c r="P31" i="6" s="1"/>
  <c r="L18" i="7"/>
  <c r="O18" i="7" s="1"/>
  <c r="M37" i="7"/>
  <c r="P33" i="6"/>
  <c r="N37" i="6"/>
  <c r="P345" i="6"/>
  <c r="N10" i="6"/>
  <c r="N8" i="6" s="1"/>
  <c r="K164" i="6"/>
  <c r="O20" i="6"/>
  <c r="N11" i="6"/>
  <c r="O11" i="6" s="1"/>
  <c r="K364" i="6"/>
  <c r="P20" i="6"/>
  <c r="O16" i="6"/>
  <c r="L14" i="6"/>
  <c r="O14" i="6" s="1"/>
  <c r="O9" i="6"/>
  <c r="P41" i="6"/>
  <c r="M37" i="6"/>
  <c r="O165" i="6"/>
  <c r="L37" i="6"/>
  <c r="O24" i="6"/>
  <c r="M18" i="6"/>
  <c r="P18" i="6" s="1"/>
  <c r="P16" i="6"/>
  <c r="M14" i="6"/>
  <c r="P14" i="6" s="1"/>
  <c r="L414" i="6"/>
  <c r="O414" i="6" s="1"/>
  <c r="P419" i="6"/>
  <c r="L10" i="6"/>
  <c r="O13" i="6"/>
  <c r="K226" i="6"/>
  <c r="I180" i="6"/>
  <c r="K180" i="6" s="1"/>
  <c r="P24" i="6"/>
  <c r="L18" i="6"/>
  <c r="O18" i="6" s="1"/>
  <c r="O30" i="6"/>
  <c r="L28" i="6"/>
  <c r="O28" i="6" s="1"/>
  <c r="M28" i="6"/>
  <c r="P28" i="6" s="1"/>
  <c r="N37" i="5"/>
  <c r="P20" i="5"/>
  <c r="P21" i="5"/>
  <c r="O655" i="1"/>
  <c r="L37" i="5"/>
  <c r="O298" i="5"/>
  <c r="O11" i="5"/>
  <c r="N414" i="5"/>
  <c r="P165" i="4"/>
  <c r="O30" i="5"/>
  <c r="M10" i="5"/>
  <c r="M8" i="5" s="1"/>
  <c r="P13" i="5"/>
  <c r="M11" i="5"/>
  <c r="P11" i="5" s="1"/>
  <c r="M37" i="5"/>
  <c r="O16" i="5"/>
  <c r="L14" i="5"/>
  <c r="O14" i="5" s="1"/>
  <c r="P16" i="5"/>
  <c r="M14" i="5"/>
  <c r="P14" i="5" s="1"/>
  <c r="P181" i="4"/>
  <c r="O20" i="5"/>
  <c r="P9" i="5"/>
  <c r="O467" i="5"/>
  <c r="L414" i="5"/>
  <c r="O414" i="5" s="1"/>
  <c r="L10" i="5"/>
  <c r="L8" i="5" s="1"/>
  <c r="O13" i="5"/>
  <c r="K226" i="5"/>
  <c r="I180" i="5"/>
  <c r="K180" i="5" s="1"/>
  <c r="P88" i="4"/>
  <c r="P419" i="5"/>
  <c r="P546" i="5"/>
  <c r="M544" i="5"/>
  <c r="P544" i="5" s="1"/>
  <c r="N10" i="5"/>
  <c r="N8" i="5" s="1"/>
  <c r="M18" i="5"/>
  <c r="P18" i="5" s="1"/>
  <c r="O18" i="5"/>
  <c r="P24" i="5"/>
  <c r="L28" i="5"/>
  <c r="O28" i="5" s="1"/>
  <c r="M31" i="5"/>
  <c r="P31" i="5" s="1"/>
  <c r="M30" i="5"/>
  <c r="P33" i="5"/>
  <c r="O9" i="5"/>
  <c r="O657" i="1"/>
  <c r="P547" i="1"/>
  <c r="K593" i="1"/>
  <c r="M544" i="3"/>
  <c r="P544" i="3" s="1"/>
  <c r="O24" i="4"/>
  <c r="P421" i="1"/>
  <c r="O165" i="4"/>
  <c r="M419" i="3"/>
  <c r="P419" i="3" s="1"/>
  <c r="P21" i="4"/>
  <c r="O328" i="4"/>
  <c r="O421" i="1"/>
  <c r="P16" i="3"/>
  <c r="N37" i="4"/>
  <c r="P20" i="4"/>
  <c r="O20" i="4"/>
  <c r="K226" i="4"/>
  <c r="I180" i="4"/>
  <c r="K180" i="4" s="1"/>
  <c r="M10" i="4"/>
  <c r="P13" i="4"/>
  <c r="M11" i="4"/>
  <c r="L10" i="4"/>
  <c r="O13" i="4"/>
  <c r="P9" i="4"/>
  <c r="L11" i="4"/>
  <c r="P657" i="1"/>
  <c r="P18" i="4"/>
  <c r="P419" i="4"/>
  <c r="P16" i="4"/>
  <c r="M14" i="4"/>
  <c r="P14" i="4" s="1"/>
  <c r="O16" i="4"/>
  <c r="L14" i="4"/>
  <c r="O14" i="4" s="1"/>
  <c r="O298" i="3"/>
  <c r="N11" i="4"/>
  <c r="L414" i="4"/>
  <c r="O414" i="4" s="1"/>
  <c r="O419" i="4"/>
  <c r="P24" i="4"/>
  <c r="M444" i="4"/>
  <c r="P444" i="4" s="1"/>
  <c r="P446" i="4"/>
  <c r="M31" i="4"/>
  <c r="P31" i="4" s="1"/>
  <c r="M30" i="4"/>
  <c r="P33" i="4"/>
  <c r="P41" i="4"/>
  <c r="M37" i="4"/>
  <c r="O298" i="4"/>
  <c r="L37" i="4"/>
  <c r="O53" i="3"/>
  <c r="O9" i="4"/>
  <c r="O30" i="4"/>
  <c r="L28" i="4"/>
  <c r="O28" i="4" s="1"/>
  <c r="L18" i="4"/>
  <c r="O18" i="4" s="1"/>
  <c r="O447" i="1"/>
  <c r="M13" i="3"/>
  <c r="P13" i="3" s="1"/>
  <c r="P30" i="3"/>
  <c r="M28" i="3"/>
  <c r="P28" i="3" s="1"/>
  <c r="P24" i="2"/>
  <c r="M14" i="3"/>
  <c r="P14" i="3" s="1"/>
  <c r="M31" i="3"/>
  <c r="P31" i="3" s="1"/>
  <c r="P33" i="3"/>
  <c r="O261" i="3"/>
  <c r="O446" i="1"/>
  <c r="N444" i="1"/>
  <c r="O444" i="1" s="1"/>
  <c r="O31" i="3"/>
  <c r="L414" i="3"/>
  <c r="O414" i="3" s="1"/>
  <c r="O9" i="3"/>
  <c r="O30" i="3"/>
  <c r="L28" i="3"/>
  <c r="O28" i="3" s="1"/>
  <c r="O24" i="3"/>
  <c r="O20" i="1"/>
  <c r="O20" i="2"/>
  <c r="N11" i="2"/>
  <c r="O11" i="2" s="1"/>
  <c r="P525" i="3"/>
  <c r="M523" i="3"/>
  <c r="P523" i="3" s="1"/>
  <c r="P20" i="3"/>
  <c r="O16" i="3"/>
  <c r="L14" i="3"/>
  <c r="O14" i="3" s="1"/>
  <c r="O20" i="3"/>
  <c r="P18" i="3"/>
  <c r="O66" i="3"/>
  <c r="P66" i="3"/>
  <c r="O13" i="3"/>
  <c r="L10" i="3"/>
  <c r="P446" i="3"/>
  <c r="M444" i="3"/>
  <c r="P444" i="3" s="1"/>
  <c r="P24" i="3"/>
  <c r="O18" i="3"/>
  <c r="N10" i="3"/>
  <c r="N8" i="3" s="1"/>
  <c r="N11" i="3"/>
  <c r="O11" i="3" s="1"/>
  <c r="N37" i="3"/>
  <c r="P41" i="3"/>
  <c r="P9" i="3"/>
  <c r="K226" i="3"/>
  <c r="I180" i="3"/>
  <c r="K180" i="3" s="1"/>
  <c r="M37" i="3"/>
  <c r="L37" i="3"/>
  <c r="O21" i="2"/>
  <c r="P345" i="2"/>
  <c r="P18" i="2"/>
  <c r="N8" i="2"/>
  <c r="P21" i="2"/>
  <c r="I180" i="1"/>
  <c r="K180" i="1" s="1"/>
  <c r="K226" i="1"/>
  <c r="P315" i="2"/>
  <c r="N37" i="2"/>
  <c r="L18" i="2"/>
  <c r="O18" i="2" s="1"/>
  <c r="O30" i="2"/>
  <c r="L37" i="2"/>
  <c r="O9" i="2"/>
  <c r="M544" i="2"/>
  <c r="P544" i="2" s="1"/>
  <c r="P16" i="2"/>
  <c r="M14" i="2"/>
  <c r="P14" i="2" s="1"/>
  <c r="O16" i="2"/>
  <c r="L14" i="2"/>
  <c r="O14" i="2" s="1"/>
  <c r="P469" i="1"/>
  <c r="O629" i="1"/>
  <c r="L10" i="1"/>
  <c r="L8" i="1" s="1"/>
  <c r="N467" i="1"/>
  <c r="O467" i="1" s="1"/>
  <c r="P469" i="2"/>
  <c r="M467" i="2"/>
  <c r="P467" i="2" s="1"/>
  <c r="P20" i="2"/>
  <c r="P41" i="2"/>
  <c r="M37" i="2"/>
  <c r="L28" i="2"/>
  <c r="O28" i="2" s="1"/>
  <c r="M10" i="2"/>
  <c r="P13" i="2"/>
  <c r="M11" i="2"/>
  <c r="K226" i="2"/>
  <c r="I180" i="2"/>
  <c r="K180" i="2" s="1"/>
  <c r="M419" i="2"/>
  <c r="P421" i="2"/>
  <c r="L414" i="2"/>
  <c r="O414" i="2" s="1"/>
  <c r="M30" i="2"/>
  <c r="M31" i="2"/>
  <c r="P31" i="2" s="1"/>
  <c r="P33" i="2"/>
  <c r="L10" i="2"/>
  <c r="O10" i="2" s="1"/>
  <c r="O13" i="2"/>
  <c r="P525" i="2"/>
  <c r="M523" i="2"/>
  <c r="P523" i="2" s="1"/>
  <c r="O181" i="1"/>
  <c r="P21" i="1"/>
  <c r="P119" i="1"/>
  <c r="O688" i="1"/>
  <c r="O24" i="1"/>
  <c r="O632" i="1"/>
  <c r="P165" i="1"/>
  <c r="O687" i="1"/>
  <c r="N685" i="1"/>
  <c r="O685" i="1" s="1"/>
  <c r="P24" i="1"/>
  <c r="P9" i="1"/>
  <c r="N18" i="1"/>
  <c r="P20" i="1"/>
  <c r="O33" i="1"/>
  <c r="N30" i="1"/>
  <c r="N31" i="1"/>
  <c r="O31" i="1" s="1"/>
  <c r="O53" i="1"/>
  <c r="P53" i="1"/>
  <c r="N37" i="1"/>
  <c r="N11" i="1"/>
  <c r="O11" i="1" s="1"/>
  <c r="N10" i="1"/>
  <c r="N8" i="1" s="1"/>
  <c r="J543" i="1"/>
  <c r="K543" i="1" s="1"/>
  <c r="K559" i="1"/>
  <c r="O419" i="1"/>
  <c r="L414" i="1"/>
  <c r="M526" i="1"/>
  <c r="P526" i="1" s="1"/>
  <c r="P528" i="1"/>
  <c r="M525" i="1"/>
  <c r="M33" i="1"/>
  <c r="L37" i="1"/>
  <c r="N14" i="1"/>
  <c r="O14" i="1" s="1"/>
  <c r="O16" i="1"/>
  <c r="O13" i="1"/>
  <c r="O525" i="1"/>
  <c r="N523" i="1"/>
  <c r="O523" i="1" s="1"/>
  <c r="M37" i="1"/>
  <c r="P467" i="14" l="1"/>
  <c r="M11" i="14"/>
  <c r="P11" i="14" s="1"/>
  <c r="P30" i="14"/>
  <c r="P37" i="14"/>
  <c r="M10" i="14"/>
  <c r="M8" i="14" s="1"/>
  <c r="P8" i="14" s="1"/>
  <c r="O37" i="15"/>
  <c r="O37" i="14"/>
  <c r="O8" i="15"/>
  <c r="P37" i="15"/>
  <c r="P30" i="12"/>
  <c r="O10" i="13"/>
  <c r="N414" i="15"/>
  <c r="O444" i="15"/>
  <c r="P444" i="15"/>
  <c r="O10" i="15"/>
  <c r="P31" i="15"/>
  <c r="O28" i="15"/>
  <c r="P419" i="15"/>
  <c r="M414" i="15"/>
  <c r="P414" i="15" s="1"/>
  <c r="O30" i="15"/>
  <c r="M10" i="15"/>
  <c r="P13" i="15"/>
  <c r="M11" i="15"/>
  <c r="P11" i="15" s="1"/>
  <c r="P30" i="15"/>
  <c r="M28" i="15"/>
  <c r="P28" i="15" s="1"/>
  <c r="O414" i="15"/>
  <c r="M28" i="9"/>
  <c r="P28" i="9" s="1"/>
  <c r="P13" i="12"/>
  <c r="M10" i="12"/>
  <c r="M8" i="12" s="1"/>
  <c r="P8" i="12" s="1"/>
  <c r="O414" i="14"/>
  <c r="O10" i="14"/>
  <c r="L8" i="14"/>
  <c r="O8" i="14" s="1"/>
  <c r="P37" i="12"/>
  <c r="P414" i="14"/>
  <c r="P37" i="13"/>
  <c r="O37" i="13"/>
  <c r="L8" i="13"/>
  <c r="O8" i="13" s="1"/>
  <c r="O10" i="4"/>
  <c r="O414" i="13"/>
  <c r="M414" i="13"/>
  <c r="P414" i="13" s="1"/>
  <c r="P30" i="13"/>
  <c r="M28" i="13"/>
  <c r="P28" i="13" s="1"/>
  <c r="P8" i="13"/>
  <c r="P10" i="13"/>
  <c r="O37" i="12"/>
  <c r="M414" i="12"/>
  <c r="P414" i="12" s="1"/>
  <c r="P13" i="9"/>
  <c r="P11" i="12"/>
  <c r="O10" i="11"/>
  <c r="P11" i="9"/>
  <c r="O8" i="12"/>
  <c r="O10" i="12"/>
  <c r="M10" i="9"/>
  <c r="M8" i="9" s="1"/>
  <c r="P8" i="9" s="1"/>
  <c r="P37" i="11"/>
  <c r="P10" i="4"/>
  <c r="O37" i="11"/>
  <c r="L8" i="11"/>
  <c r="O8" i="11" s="1"/>
  <c r="L8" i="10"/>
  <c r="O8" i="10" s="1"/>
  <c r="M10" i="11"/>
  <c r="P13" i="11"/>
  <c r="M11" i="11"/>
  <c r="P11" i="11" s="1"/>
  <c r="P30" i="11"/>
  <c r="M28" i="11"/>
  <c r="P28" i="11" s="1"/>
  <c r="M414" i="11"/>
  <c r="P414" i="11" s="1"/>
  <c r="P419" i="11"/>
  <c r="M414" i="9"/>
  <c r="P414" i="9" s="1"/>
  <c r="M8" i="10"/>
  <c r="P8" i="10" s="1"/>
  <c r="P11" i="10"/>
  <c r="P30" i="10"/>
  <c r="M28" i="10"/>
  <c r="P28" i="10" s="1"/>
  <c r="P419" i="10"/>
  <c r="M414" i="10"/>
  <c r="P414" i="10" s="1"/>
  <c r="O10" i="9"/>
  <c r="M414" i="6"/>
  <c r="P414" i="6" s="1"/>
  <c r="O37" i="9"/>
  <c r="O11" i="9"/>
  <c r="P37" i="9"/>
  <c r="P13" i="6"/>
  <c r="L8" i="9"/>
  <c r="O8" i="9" s="1"/>
  <c r="M10" i="6"/>
  <c r="P10" i="6" s="1"/>
  <c r="O10" i="8"/>
  <c r="P37" i="8"/>
  <c r="O37" i="8"/>
  <c r="O10" i="7"/>
  <c r="M10" i="8"/>
  <c r="P13" i="8"/>
  <c r="M11" i="8"/>
  <c r="P11" i="8" s="1"/>
  <c r="P419" i="8"/>
  <c r="M414" i="8"/>
  <c r="P414" i="8" s="1"/>
  <c r="L8" i="8"/>
  <c r="O8" i="8" s="1"/>
  <c r="P30" i="8"/>
  <c r="M28" i="8"/>
  <c r="P28" i="8" s="1"/>
  <c r="P37" i="6"/>
  <c r="O11" i="7"/>
  <c r="O10" i="6"/>
  <c r="P37" i="7"/>
  <c r="O37" i="7"/>
  <c r="L8" i="7"/>
  <c r="O8" i="7" s="1"/>
  <c r="M10" i="7"/>
  <c r="P13" i="7"/>
  <c r="M11" i="7"/>
  <c r="P11" i="7" s="1"/>
  <c r="O37" i="6"/>
  <c r="P30" i="7"/>
  <c r="M28" i="7"/>
  <c r="P28" i="7" s="1"/>
  <c r="M414" i="7"/>
  <c r="P414" i="7" s="1"/>
  <c r="P419" i="7"/>
  <c r="P37" i="5"/>
  <c r="P11" i="6"/>
  <c r="O37" i="5"/>
  <c r="L8" i="6"/>
  <c r="O8" i="6" s="1"/>
  <c r="P8" i="5"/>
  <c r="O8" i="5"/>
  <c r="O10" i="5"/>
  <c r="P30" i="5"/>
  <c r="M28" i="5"/>
  <c r="P28" i="5" s="1"/>
  <c r="P10" i="5"/>
  <c r="M414" i="5"/>
  <c r="P414" i="5" s="1"/>
  <c r="P37" i="4"/>
  <c r="O37" i="4"/>
  <c r="M414" i="4"/>
  <c r="P414" i="4" s="1"/>
  <c r="M8" i="4"/>
  <c r="P8" i="4" s="1"/>
  <c r="M11" i="3"/>
  <c r="P11" i="3" s="1"/>
  <c r="O37" i="3"/>
  <c r="P11" i="4"/>
  <c r="L8" i="4"/>
  <c r="O8" i="4" s="1"/>
  <c r="O11" i="4"/>
  <c r="P30" i="4"/>
  <c r="M28" i="4"/>
  <c r="P28" i="4" s="1"/>
  <c r="M10" i="3"/>
  <c r="M8" i="3" s="1"/>
  <c r="P8" i="3" s="1"/>
  <c r="P444" i="1"/>
  <c r="P37" i="3"/>
  <c r="O10" i="3"/>
  <c r="L8" i="3"/>
  <c r="O8" i="3" s="1"/>
  <c r="O37" i="2"/>
  <c r="P37" i="2"/>
  <c r="M414" i="3"/>
  <c r="P414" i="3" s="1"/>
  <c r="P37" i="1"/>
  <c r="O37" i="1"/>
  <c r="P11" i="2"/>
  <c r="P467" i="1"/>
  <c r="L8" i="2"/>
  <c r="O8" i="2" s="1"/>
  <c r="P30" i="2"/>
  <c r="M28" i="2"/>
  <c r="P28" i="2" s="1"/>
  <c r="P10" i="2"/>
  <c r="M8" i="2"/>
  <c r="P8" i="2" s="1"/>
  <c r="O8" i="1"/>
  <c r="M414" i="2"/>
  <c r="P414" i="2" s="1"/>
  <c r="P419" i="2"/>
  <c r="P685" i="1"/>
  <c r="P14" i="1"/>
  <c r="O10" i="1"/>
  <c r="P525" i="1"/>
  <c r="M523" i="1"/>
  <c r="N28" i="1"/>
  <c r="O28" i="1" s="1"/>
  <c r="O30" i="1"/>
  <c r="P18" i="1"/>
  <c r="O18" i="1"/>
  <c r="P33" i="1"/>
  <c r="M13" i="1"/>
  <c r="M30" i="1"/>
  <c r="M31" i="1"/>
  <c r="P31" i="1" s="1"/>
  <c r="N414" i="1"/>
  <c r="O414" i="1" s="1"/>
  <c r="P10" i="14" l="1"/>
  <c r="P10" i="15"/>
  <c r="M8" i="15"/>
  <c r="P8" i="15" s="1"/>
  <c r="P10" i="12"/>
  <c r="P10" i="9"/>
  <c r="P10" i="11"/>
  <c r="M8" i="11"/>
  <c r="P8" i="11" s="1"/>
  <c r="M8" i="6"/>
  <c r="P8" i="6" s="1"/>
  <c r="P10" i="8"/>
  <c r="M8" i="8"/>
  <c r="P8" i="8" s="1"/>
  <c r="P10" i="7"/>
  <c r="M8" i="7"/>
  <c r="P8" i="7" s="1"/>
  <c r="P10" i="3"/>
  <c r="P30" i="1"/>
  <c r="M28" i="1"/>
  <c r="P28" i="1" s="1"/>
  <c r="P13" i="1"/>
  <c r="M10" i="1"/>
  <c r="M11" i="1"/>
  <c r="P11" i="1" s="1"/>
  <c r="P523" i="1"/>
  <c r="M414" i="1"/>
  <c r="P414" i="1" s="1"/>
  <c r="P10" i="1" l="1"/>
  <c r="M8" i="1"/>
  <c r="P8" i="1" s="1"/>
</calcChain>
</file>

<file path=xl/sharedStrings.xml><?xml version="1.0" encoding="utf-8"?>
<sst xmlns="http://schemas.openxmlformats.org/spreadsheetml/2006/main" count="23254" uniqueCount="355">
  <si>
    <t>รายละเอียดแผนงาน/โครงการ ผลผลิต/กิจกรรม ปีงบประมาณ พ.ศ. 2566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</si>
  <si>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</si>
  <si>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</si>
  <si>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</si>
  <si>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</si>
  <si>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</si>
  <si>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</si>
  <si>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</si>
  <si>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</si>
  <si>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</si>
  <si>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</si>
  <si>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</si>
  <si>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</si>
  <si>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</si>
  <si>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</si>
  <si>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</si>
  <si>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</si>
  <si>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</si>
  <si>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</si>
  <si>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</si>
  <si>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</si>
  <si>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</si>
  <si>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</si>
  <si>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</si>
  <si>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</si>
  <si>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</si>
  <si>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</si>
  <si>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</si>
  <si>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</si>
  <si>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</si>
  <si>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</si>
  <si>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</si>
  <si>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</si>
  <si>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</si>
  <si>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</si>
  <si>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</si>
  <si>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</si>
  <si>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</si>
  <si>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</si>
  <si>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</si>
  <si>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</si>
  <si>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</si>
  <si>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</si>
  <si>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</si>
  <si>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</si>
  <si>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</si>
  <si>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</si>
  <si>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</si>
  <si>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</si>
  <si>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</si>
  <si>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</si>
  <si>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</si>
  <si>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</si>
  <si>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</si>
  <si>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</si>
  <si>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</si>
  <si>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</si>
  <si>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</si>
  <si>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</si>
  <si>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</si>
  <si>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</si>
  <si>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</si>
  <si>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</si>
  <si>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</si>
  <si>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</si>
  <si>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</si>
  <si>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</si>
  <si>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</si>
  <si>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</si>
  <si>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</si>
  <si>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</si>
  <si>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</si>
  <si>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</si>
  <si>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</si>
  <si>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</si>
  <si>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</si>
  <si>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</si>
  <si>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</si>
  <si>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</si>
  <si>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</si>
  <si>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</si>
  <si>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</si>
  <si>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</si>
  <si>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</si>
  <si>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</si>
  <si>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</si>
  <si>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</si>
  <si>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</si>
  <si>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</si>
  <si>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</si>
  <si>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</si>
  <si>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</si>
  <si>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</si>
  <si>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</si>
  <si>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</si>
  <si>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</si>
  <si>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</si>
  <si>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</si>
  <si>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</si>
  <si>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</si>
  <si>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</si>
  <si>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</si>
  <si>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</si>
  <si>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</si>
  <si>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</si>
  <si>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</si>
  <si>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</si>
  <si>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</si>
  <si>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</si>
  <si>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</si>
  <si>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</si>
  <si>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</si>
  <si>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</si>
  <si>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</si>
  <si>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</si>
  <si>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</si>
  <si>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</si>
  <si>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</si>
  <si>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</si>
  <si>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</si>
  <si>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</si>
  <si>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</si>
  <si>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</si>
  <si>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</si>
  <si>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</si>
  <si>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</si>
  <si>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</si>
  <si>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</si>
  <si>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</si>
  <si>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</si>
  <si>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</si>
  <si>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</si>
  <si>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</si>
  <si>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</si>
  <si>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</si>
  <si>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</si>
  <si>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</si>
  <si>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</si>
  <si>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</si>
  <si>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</si>
  <si>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</si>
  <si>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</si>
  <si>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</si>
  <si>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</si>
  <si>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</si>
  <si>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</si>
  <si>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</si>
  <si>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</si>
  <si>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</si>
  <si>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</si>
  <si>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</si>
  <si>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</si>
  <si>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</si>
  <si>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</si>
  <si>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</si>
  <si>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</si>
  <si>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</si>
  <si>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</si>
  <si>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</si>
  <si>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</si>
  <si>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</si>
  <si>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</si>
  <si>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</si>
  <si>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</si>
  <si>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</si>
  <si>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</si>
  <si>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</si>
  <si>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</si>
  <si>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</si>
  <si>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t>งานพิพาท</t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</si>
  <si>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</si>
  <si>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</si>
  <si>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</si>
  <si>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</si>
  <si>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</si>
  <si>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</si>
  <si>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</si>
  <si>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</si>
  <si>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</si>
  <si>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</si>
  <si>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</si>
  <si>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</si>
  <si>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</si>
  <si>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</si>
  <si>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</si>
  <si>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</si>
  <si>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</si>
  <si>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</si>
  <si>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</si>
  <si>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</si>
  <si>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</si>
  <si>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</si>
  <si>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</si>
  <si>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</si>
  <si>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</si>
  <si>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</si>
  <si>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</si>
  <si>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</si>
  <si>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</si>
  <si>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</si>
  <si>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</si>
  <si>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</si>
  <si>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</si>
  <si>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</si>
  <si>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</si>
  <si>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</si>
  <si>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</si>
  <si>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</si>
  <si>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</si>
  <si>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</si>
  <si>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</si>
  <si>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</si>
  <si>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</si>
  <si>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</si>
  <si>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</si>
  <si>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</si>
  <si>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</si>
  <si>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</si>
  <si>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</si>
  <si>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</si>
  <si>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</si>
  <si>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</si>
  <si>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</si>
  <si>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</si>
  <si>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</si>
  <si>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</si>
  <si>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</si>
  <si>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</si>
  <si>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</si>
  <si>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</si>
  <si>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</si>
  <si>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</si>
  <si>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</si>
  <si>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</si>
  <si>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</si>
  <si>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</si>
  <si>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</si>
  <si>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</si>
  <si>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</si>
  <si>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</si>
  <si>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</si>
  <si>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</si>
  <si>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</si>
  <si>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</si>
  <si>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</si>
  <si>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</si>
  <si>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</si>
  <si>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</si>
  <si>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</si>
  <si>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</si>
  <si>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</si>
  <si>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</si>
  <si>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</si>
  <si>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</si>
  <si>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</si>
  <si>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</si>
  <si>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</si>
  <si>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</si>
  <si>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</si>
  <si>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</si>
  <si>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</si>
  <si>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</si>
  <si>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</si>
  <si>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</si>
  <si>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</si>
  <si>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</si>
  <si>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</si>
  <si>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</si>
  <si>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</si>
  <si>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</si>
  <si>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</si>
  <si>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</si>
  <si>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</si>
  <si>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</si>
  <si>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</si>
  <si>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</si>
  <si>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</si>
  <si>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</si>
  <si>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</si>
  <si>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</si>
  <si>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</si>
  <si>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</si>
  <si>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</si>
  <si>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</si>
  <si>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</si>
  <si>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</si>
  <si>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</si>
  <si>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</si>
  <si>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</si>
  <si>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</si>
  <si>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</si>
  <si>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</si>
  <si>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</si>
  <si>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</si>
  <si>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</si>
  <si>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</si>
  <si>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</si>
  <si>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</si>
  <si>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</si>
  <si>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</si>
  <si>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</si>
  <si>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</si>
  <si>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</si>
  <si>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</si>
  <si>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</si>
  <si>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</si>
  <si>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</si>
  <si>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</si>
  <si>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</si>
  <si>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</si>
  <si>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</si>
  <si>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</si>
  <si>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</si>
  <si>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</si>
  <si>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</si>
  <si>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</si>
  <si>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</si>
  <si>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</si>
  <si>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</si>
  <si>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</si>
  <si>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</si>
  <si>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</si>
  <si>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</si>
  <si>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</si>
  <si>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</si>
  <si>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</si>
  <si>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</si>
  <si>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</si>
  <si>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</si>
  <si>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 </t>
    </r>
    <r>
      <rPr>
        <b/>
        <sz val="15"/>
        <color rgb="FFFF0000"/>
        <rFont val="Arial"/>
      </rPr>
      <t>(ใช้ข้อมูลจาก สบท.)</t>
    </r>
  </si>
  <si>
    <t>*ข้อมูลจาก ALRO Land Online</t>
  </si>
  <si>
    <t>(6) โครงการพัฒนาพื้นที่ราบเชิงเขา</t>
  </si>
  <si>
    <t>(5) โครงการพัชรสุธาคชานุรักษ์</t>
  </si>
  <si>
    <t>สำนักงานการปฏิรูปที่ดินจังหวัด กระบี่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</si>
  <si>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</si>
  <si>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ชุมพร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</si>
  <si>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</si>
  <si>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ตรัง</t>
  </si>
  <si>
    <t>(5) โครงการพัฒนาพื้นที่ลุ่มน้ำปากพนัง</t>
  </si>
  <si>
    <t>สำนักงานการปฏิรูปที่ดินจังหวัด นครศรีธรรมราช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</si>
  <si>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>(ใช้ข้อมูลจาก สบท.)</t>
    </r>
  </si>
  <si>
    <t>สำนักงานการปฏิรูปที่ดินจังหวัด นราธิวาส</t>
  </si>
  <si>
    <t>สำนักงานการปฏิรูปที่ดินจังหวัด ปัตตานี</t>
  </si>
  <si>
    <t>สำนักงานการปฏิรูปที่ดินจังหวัด พังงา</t>
  </si>
  <si>
    <r>
      <rPr>
        <b/>
        <sz val="15"/>
        <color theme="1"/>
        <rFont val="Arial"/>
      </rPr>
      <t>การดำเนินงานกองทุนการปฏิรูปที่ดินเพื่อเกษตรกรรม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</si>
  <si>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พัทลุง</t>
  </si>
  <si>
    <t>- โรงเรียน/แปลง</t>
  </si>
  <si>
    <t>- รายโรงเรียน</t>
  </si>
  <si>
    <t>สำนักงานการปฏิรูปที่ดินจังหวัด ภูเก็ต</t>
  </si>
  <si>
    <t>สำนักงานการปฏิรูปที่ดินจังหวัด ยะลา</t>
  </si>
  <si>
    <t>สำนักงานการปฏิรูปที่ดินจังหวัด ระนอง</t>
  </si>
  <si>
    <t>สำนักงานการปฏิรูปที่ดินจังหวัด สงขลา</t>
  </si>
  <si>
    <t>สำนักงานการปฏิรูปที่ดินจังหวัด สตูล</t>
  </si>
  <si>
    <t>สำนักงานการปฏิรูปที่ดินจังหวัด สุราษฎร์ธานี</t>
  </si>
  <si>
    <t>ข้อมูล ณ วันที่ 30 กันยายน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</si>
</sst>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80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sz val="12"/>
      <color rgb="FFFF0000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sz val="10"/>
      <color theme="1"/>
      <name val="Arial"/>
      <scheme val="minor"/>
    </font>
    <font>
      <b/>
      <sz val="14"/>
      <color theme="1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29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15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3" borderId="9" xfId="0" applyNumberFormat="1" applyFont="1" applyFill="1" applyBorder="1" applyAlignment="1"/>
    <xf numFmtId="187" fontId="7" fillId="23" borderId="10" xfId="0" applyNumberFormat="1" applyFont="1" applyFill="1" applyBorder="1" applyAlignment="1"/>
    <xf numFmtId="0" fontId="15" fillId="23" borderId="10" xfId="0" applyFont="1" applyFill="1" applyBorder="1" applyAlignment="1"/>
    <xf numFmtId="0" fontId="7" fillId="23" borderId="10" xfId="0" applyFont="1" applyFill="1" applyBorder="1" applyAlignment="1"/>
    <xf numFmtId="0" fontId="7" fillId="23" borderId="11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88" fontId="9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10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189" fontId="4" fillId="26" borderId="11" xfId="0" applyNumberFormat="1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41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0" borderId="9" xfId="0" applyNumberFormat="1" applyFont="1" applyFill="1" applyBorder="1" applyAlignment="1"/>
    <xf numFmtId="187" fontId="44" fillId="30" borderId="10" xfId="0" applyNumberFormat="1" applyFont="1" applyFill="1" applyBorder="1" applyAlignment="1"/>
    <xf numFmtId="0" fontId="45" fillId="30" borderId="10" xfId="0" applyFont="1" applyFill="1" applyBorder="1" applyAlignment="1"/>
    <xf numFmtId="0" fontId="45" fillId="30" borderId="10" xfId="0" applyFont="1" applyFill="1" applyBorder="1" applyAlignment="1"/>
    <xf numFmtId="0" fontId="44" fillId="30" borderId="10" xfId="0" applyFont="1" applyFill="1" applyBorder="1" applyAlignment="1"/>
    <xf numFmtId="0" fontId="44" fillId="30" borderId="11" xfId="0" applyFont="1" applyFill="1" applyBorder="1" applyAlignment="1"/>
    <xf numFmtId="0" fontId="47" fillId="30" borderId="11" xfId="0" applyFont="1" applyFill="1" applyBorder="1" applyAlignment="1">
      <alignment horizontal="center"/>
    </xf>
    <xf numFmtId="189" fontId="47" fillId="30" borderId="11" xfId="0" applyNumberFormat="1" applyFont="1" applyFill="1" applyBorder="1" applyAlignment="1"/>
    <xf numFmtId="189" fontId="47" fillId="30" borderId="11" xfId="0" applyNumberFormat="1" applyFont="1" applyFill="1" applyBorder="1" applyAlignment="1"/>
    <xf numFmtId="188" fontId="47" fillId="30" borderId="11" xfId="0" applyNumberFormat="1" applyFont="1" applyFill="1" applyBorder="1" applyAlignment="1"/>
    <xf numFmtId="188" fontId="48" fillId="30" borderId="11" xfId="0" applyNumberFormat="1" applyFont="1" applyFill="1" applyBorder="1" applyAlignment="1"/>
    <xf numFmtId="0" fontId="50" fillId="30" borderId="10" xfId="0" applyFont="1" applyFill="1" applyBorder="1" applyAlignment="1"/>
    <xf numFmtId="0" fontId="48" fillId="30" borderId="11" xfId="0" applyFont="1" applyFill="1" applyBorder="1" applyAlignment="1"/>
    <xf numFmtId="189" fontId="48" fillId="30" borderId="11" xfId="0" applyNumberFormat="1" applyFont="1" applyFill="1" applyBorder="1" applyAlignment="1"/>
    <xf numFmtId="41" fontId="47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187" fontId="2" fillId="23" borderId="12" xfId="0" applyNumberFormat="1" applyFont="1" applyFill="1" applyBorder="1" applyAlignment="1"/>
    <xf numFmtId="187" fontId="2" fillId="23" borderId="13" xfId="0" applyNumberFormat="1" applyFont="1" applyFill="1" applyBorder="1" applyAlignment="1"/>
    <xf numFmtId="0" fontId="51" fillId="23" borderId="13" xfId="0" applyFont="1" applyFill="1" applyBorder="1" applyAlignment="1"/>
    <xf numFmtId="0" fontId="2" fillId="23" borderId="14" xfId="0" applyFont="1" applyFill="1" applyBorder="1" applyAlignment="1"/>
    <xf numFmtId="0" fontId="52" fillId="21" borderId="10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3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5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7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8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9" fillId="2" borderId="11" xfId="0" applyFont="1" applyFill="1" applyBorder="1" applyAlignment="1"/>
    <xf numFmtId="187" fontId="60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0" fontId="61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2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3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4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5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7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68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9" fillId="2" borderId="10" xfId="0" applyFont="1" applyFill="1" applyBorder="1" applyAlignment="1"/>
    <xf numFmtId="0" fontId="9" fillId="2" borderId="10" xfId="0" applyFont="1" applyFill="1" applyBorder="1" applyAlignment="1"/>
    <xf numFmtId="0" fontId="70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5" fillId="2" borderId="10" xfId="0" applyFont="1" applyFill="1" applyBorder="1" applyAlignment="1"/>
    <xf numFmtId="0" fontId="4" fillId="0" borderId="5" xfId="0" applyFont="1" applyBorder="1" applyAlignment="1"/>
    <xf numFmtId="0" fontId="71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72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3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7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 applyAlignment="1"/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187" fontId="9" fillId="38" borderId="10" xfId="0" applyNumberFormat="1" applyFont="1" applyFill="1" applyBorder="1" applyAlignment="1"/>
    <xf numFmtId="187" fontId="75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5" xfId="0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188" fontId="4" fillId="41" borderId="11" xfId="0" applyNumberFormat="1" applyFont="1" applyFill="1" applyBorder="1" applyAlignment="1"/>
    <xf numFmtId="189" fontId="4" fillId="41" borderId="11" xfId="0" applyNumberFormat="1" applyFont="1" applyFill="1" applyBorder="1" applyAlignment="1"/>
    <xf numFmtId="0" fontId="6" fillId="41" borderId="11" xfId="0" applyFont="1" applyFill="1" applyBorder="1" applyAlignment="1"/>
    <xf numFmtId="0" fontId="4" fillId="41" borderId="11" xfId="0" applyFont="1" applyFill="1" applyBorder="1" applyAlignment="1"/>
    <xf numFmtId="0" fontId="4" fillId="41" borderId="10" xfId="0" applyFont="1" applyFill="1" applyBorder="1" applyAlignment="1"/>
    <xf numFmtId="187" fontId="4" fillId="41" borderId="10" xfId="0" applyNumberFormat="1" applyFont="1" applyFill="1" applyBorder="1" applyAlignment="1"/>
    <xf numFmtId="0" fontId="6" fillId="41" borderId="9" xfId="0" applyFont="1" applyFill="1" applyBorder="1" applyAlignment="1"/>
    <xf numFmtId="187" fontId="61" fillId="21" borderId="10" xfId="0" applyNumberFormat="1" applyFont="1" applyFill="1" applyBorder="1" applyAlignment="1"/>
    <xf numFmtId="0" fontId="56" fillId="21" borderId="10" xfId="0" applyFont="1" applyFill="1" applyBorder="1" applyAlignment="1"/>
    <xf numFmtId="0" fontId="61" fillId="21" borderId="10" xfId="0" applyFont="1" applyFill="1" applyBorder="1" applyAlignment="1"/>
    <xf numFmtId="187" fontId="56" fillId="21" borderId="10" xfId="0" applyNumberFormat="1" applyFont="1" applyFill="1" applyBorder="1" applyAlignment="1"/>
    <xf numFmtId="0" fontId="56" fillId="21" borderId="10" xfId="0" quotePrefix="1" applyFont="1" applyFill="1" applyBorder="1" applyAlignment="1"/>
    <xf numFmtId="0" fontId="61" fillId="21" borderId="10" xfId="0" quotePrefix="1" applyFont="1" applyFill="1" applyBorder="1" applyAlignment="1"/>
    <xf numFmtId="187" fontId="56" fillId="21" borderId="10" xfId="0" quotePrefix="1" applyNumberFormat="1" applyFont="1" applyFill="1" applyBorder="1" applyAlignment="1"/>
    <xf numFmtId="0" fontId="5" fillId="21" borderId="13" xfId="0" quotePrefix="1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21" borderId="10" xfId="0" applyFont="1" applyFill="1" applyBorder="1" applyAlignment="1"/>
    <xf numFmtId="0" fontId="5" fillId="23" borderId="13" xfId="0" applyFont="1" applyFill="1" applyBorder="1" applyAlignment="1"/>
    <xf numFmtId="0" fontId="5" fillId="8" borderId="10" xfId="0" applyFont="1" applyFill="1" applyBorder="1" applyAlignment="1"/>
    <xf numFmtId="0" fontId="5" fillId="23" borderId="10" xfId="0" applyFont="1" applyFill="1" applyBorder="1" applyAlignment="1"/>
    <xf numFmtId="187" fontId="14" fillId="0" borderId="10" xfId="0" quotePrefix="1" applyNumberFormat="1" applyFont="1" applyBorder="1" applyAlignment="1"/>
    <xf numFmtId="188" fontId="32" fillId="10" borderId="11" xfId="0" applyNumberFormat="1" applyFont="1" applyFill="1" applyBorder="1" applyAlignment="1"/>
    <xf numFmtId="0" fontId="5" fillId="2" borderId="13" xfId="0" quotePrefix="1" applyFont="1" applyFill="1" applyBorder="1" applyAlignment="1"/>
    <xf numFmtId="188" fontId="9" fillId="2" borderId="14" xfId="0" applyNumberFormat="1" applyFont="1" applyFill="1" applyBorder="1" applyAlignment="1"/>
    <xf numFmtId="0" fontId="27" fillId="2" borderId="13" xfId="0" applyFont="1" applyFill="1" applyBorder="1" applyAlignment="1"/>
    <xf numFmtId="189" fontId="4" fillId="21" borderId="11" xfId="0" applyNumberFormat="1" applyFont="1" applyFill="1" applyBorder="1" applyAlignment="1"/>
    <xf numFmtId="0" fontId="23" fillId="2" borderId="18" xfId="0" applyFont="1" applyFill="1" applyBorder="1" applyAlignment="1"/>
    <xf numFmtId="0" fontId="5" fillId="9" borderId="10" xfId="0" applyFont="1" applyFill="1" applyBorder="1" applyAlignment="1"/>
    <xf numFmtId="0" fontId="5" fillId="18" borderId="13" xfId="0" applyFont="1" applyFill="1" applyBorder="1" applyAlignment="1"/>
    <xf numFmtId="0" fontId="5" fillId="14" borderId="13" xfId="0" applyFont="1" applyFill="1" applyBorder="1" applyAlignment="1"/>
    <xf numFmtId="188" fontId="6" fillId="41" borderId="4" xfId="0" applyNumberFormat="1" applyFont="1" applyFill="1" applyBorder="1" applyAlignment="1"/>
    <xf numFmtId="188" fontId="4" fillId="41" borderId="4" xfId="0" applyNumberFormat="1" applyFont="1" applyFill="1" applyBorder="1" applyAlignment="1"/>
    <xf numFmtId="189" fontId="4" fillId="41" borderId="4" xfId="0" applyNumberFormat="1" applyFont="1" applyFill="1" applyBorder="1" applyAlignment="1"/>
    <xf numFmtId="0" fontId="4" fillId="41" borderId="4" xfId="0" applyFont="1" applyFill="1" applyBorder="1" applyAlignment="1"/>
    <xf numFmtId="0" fontId="2" fillId="41" borderId="4" xfId="0" applyFont="1" applyFill="1" applyBorder="1" applyAlignment="1"/>
    <xf numFmtId="0" fontId="2" fillId="41" borderId="1" xfId="0" applyFont="1" applyFill="1" applyBorder="1" applyAlignment="1"/>
    <xf numFmtId="0" fontId="1" fillId="41" borderId="5" xfId="0" applyFont="1" applyFill="1" applyBorder="1" applyAlignment="1"/>
    <xf numFmtId="188" fontId="65" fillId="10" borderId="11" xfId="0" applyNumberFormat="1" applyFont="1" applyFill="1" applyBorder="1" applyAlignment="1"/>
    <xf numFmtId="189" fontId="32" fillId="10" borderId="11" xfId="0" applyNumberFormat="1" applyFont="1" applyFill="1" applyBorder="1" applyAlignment="1"/>
    <xf numFmtId="0" fontId="34" fillId="21" borderId="10" xfId="0" quotePrefix="1" applyFont="1" applyFill="1" applyBorder="1" applyAlignment="1"/>
    <xf numFmtId="0" fontId="34" fillId="2" borderId="13" xfId="0" quotePrefix="1" applyFont="1" applyFill="1" applyBorder="1" applyAlignment="1"/>
    <xf numFmtId="0" fontId="78" fillId="0" borderId="0" xfId="0" applyFont="1" applyAlignment="1"/>
    <xf numFmtId="189" fontId="6" fillId="10" borderId="11" xfId="0" applyNumberFormat="1" applyFont="1" applyFill="1" applyBorder="1" applyAlignment="1"/>
    <xf numFmtId="191" fontId="4" fillId="10" borderId="11" xfId="0" applyNumberFormat="1" applyFont="1" applyFill="1" applyBorder="1" applyAlignment="1"/>
    <xf numFmtId="188" fontId="1" fillId="41" borderId="19" xfId="0" applyNumberFormat="1" applyFont="1" applyFill="1" applyBorder="1" applyAlignment="1">
      <alignment horizontal="right"/>
    </xf>
    <xf numFmtId="188" fontId="1" fillId="41" borderId="27" xfId="0" applyNumberFormat="1" applyFont="1" applyFill="1" applyBorder="1" applyAlignment="1">
      <alignment horizontal="right"/>
    </xf>
    <xf numFmtId="188" fontId="2" fillId="2" borderId="11" xfId="0" applyNumberFormat="1" applyFont="1" applyFill="1" applyBorder="1" applyAlignment="1"/>
    <xf numFmtId="189" fontId="14" fillId="2" borderId="11" xfId="0" applyNumberFormat="1" applyFont="1" applyFill="1" applyBorder="1" applyAlignment="1">
      <alignment horizontal="right"/>
    </xf>
    <xf numFmtId="189" fontId="2" fillId="2" borderId="16" xfId="0" applyNumberFormat="1" applyFont="1" applyFill="1" applyBorder="1" applyAlignment="1"/>
    <xf numFmtId="188" fontId="14" fillId="2" borderId="11" xfId="0" applyNumberFormat="1" applyFont="1" applyFill="1" applyBorder="1" applyAlignment="1">
      <alignment horizontal="right"/>
    </xf>
    <xf numFmtId="189" fontId="14" fillId="2" borderId="16" xfId="0" applyNumberFormat="1" applyFont="1" applyFill="1" applyBorder="1" applyAlignment="1">
      <alignment horizontal="right"/>
    </xf>
    <xf numFmtId="189" fontId="2" fillId="2" borderId="11" xfId="0" applyNumberFormat="1" applyFont="1" applyFill="1" applyBorder="1" applyAlignment="1"/>
    <xf numFmtId="188" fontId="14" fillId="2" borderId="14" xfId="0" applyNumberFormat="1" applyFont="1" applyFill="1" applyBorder="1" applyAlignment="1">
      <alignment horizontal="right"/>
    </xf>
    <xf numFmtId="189" fontId="14" fillId="2" borderId="14" xfId="0" applyNumberFormat="1" applyFont="1" applyFill="1" applyBorder="1" applyAlignment="1">
      <alignment horizontal="right"/>
    </xf>
    <xf numFmtId="189" fontId="14" fillId="2" borderId="15" xfId="0" applyNumberFormat="1" applyFont="1" applyFill="1" applyBorder="1" applyAlignment="1">
      <alignment horizontal="right"/>
    </xf>
    <xf numFmtId="0" fontId="56" fillId="2" borderId="10" xfId="0" applyFont="1" applyFill="1" applyBorder="1" applyAlignment="1"/>
    <xf numFmtId="0" fontId="3" fillId="0" borderId="10" xfId="0" applyFont="1" applyBorder="1"/>
    <xf numFmtId="0" fontId="66" fillId="2" borderId="13" xfId="0" applyFont="1" applyFill="1" applyBorder="1" applyAlignment="1"/>
    <xf numFmtId="0" fontId="3" fillId="0" borderId="13" xfId="0" applyFont="1" applyBorder="1"/>
    <xf numFmtId="0" fontId="74" fillId="2" borderId="10" xfId="0" applyFont="1" applyFill="1" applyBorder="1" applyAlignment="1"/>
    <xf numFmtId="0" fontId="61" fillId="2" borderId="10" xfId="0" applyFont="1" applyFill="1" applyBorder="1" applyAlignment="1"/>
    <xf numFmtId="0" fontId="1" fillId="16" borderId="10" xfId="0" applyFont="1" applyFill="1" applyBorder="1" applyAlignment="1"/>
    <xf numFmtId="0" fontId="3" fillId="0" borderId="11" xfId="0" applyFont="1" applyBorder="1"/>
    <xf numFmtId="0" fontId="54" fillId="2" borderId="13" xfId="0" applyFont="1" applyFill="1" applyBorder="1" applyAlignment="1"/>
    <xf numFmtId="0" fontId="1" fillId="8" borderId="5" xfId="0" applyFont="1" applyFill="1" applyBorder="1" applyAlignment="1"/>
    <xf numFmtId="0" fontId="3" fillId="0" borderId="1" xfId="0" applyFont="1" applyBorder="1"/>
    <xf numFmtId="0" fontId="3" fillId="0" borderId="4" xfId="0" applyFont="1" applyBorder="1"/>
    <xf numFmtId="0" fontId="1" fillId="13" borderId="10" xfId="0" applyFont="1" applyFill="1" applyBorder="1" applyAlignment="1"/>
    <xf numFmtId="0" fontId="1" fillId="15" borderId="5" xfId="0" applyFont="1" applyFill="1" applyBorder="1" applyAlignment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5" fillId="2" borderId="13" xfId="0" applyFont="1" applyFill="1" applyBorder="1" applyAlignment="1"/>
    <xf numFmtId="0" fontId="56" fillId="2" borderId="13" xfId="0" applyFont="1" applyFill="1" applyBorder="1" applyAlignment="1"/>
    <xf numFmtId="0" fontId="62" fillId="2" borderId="10" xfId="0" applyFont="1" applyFill="1" applyBorder="1" applyAlignment="1"/>
    <xf numFmtId="0" fontId="79" fillId="0" borderId="0" xfId="0" applyFont="1" applyAlignment="1">
      <alignment horizontal="center"/>
    </xf>
    <xf numFmtId="188" fontId="1" fillId="7" borderId="28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11.&#3611;&#3637;%202566\1.&#3619;&#3634;&#3618;&#3591;&#3634;&#3609;&#3649;&#3612;&#3609;&#3591;&#3634;&#3609;-&#3612;&#3621;&#3591;&#3634;&#3609;%20&#3611;&#3637;66\2.&#3586;&#3657;&#3629;&#3617;&#3641;&#3621;%20Export%20&#3592;&#3634;&#3585;%20Google%20Sheet\28.%2030%20&#3585;.&#3618;.%2066%20update%20&#3612;&#3621;&#3648;&#3610;&#3636;&#3585;&#3592;&#3656;&#3634;&#3618;&#3648;&#3591;&#3636;&#3609;&#3585;&#3629;&#3591;&#3607;&#3640;&#3609;\S-&#3609;&#3619;&#3634;&#3608;&#3636;&#3623;&#3634;&#362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นราธิวาส"/>
      <sheetName val="ผลการเบิกจ่ายเงินกองทุน"/>
      <sheetName val="ผลการเบิกจ่ายเงินงบประมาณ"/>
      <sheetName val="สรุปภาพรวมการเบิกจ่าย "/>
      <sheetName val="แผนปฏิบัติงาน"/>
      <sheetName val="(ผตร.)แบบรายงานผลงาน"/>
      <sheetName val="เป้าการใช้ งปม."/>
      <sheetName val="Sheet12"/>
      <sheetName val="นำเข้า studio"/>
      <sheetName val="(ผตร.)ปัญหาอุปสรรค"/>
      <sheetName val="รายงานงบประมาณ"/>
      <sheetName val="ผลการเบิกจ่าย(กลุ่มยุทธ)"/>
    </sheetNames>
    <sheetDataSet>
      <sheetData sheetId="0"/>
      <sheetData sheetId="1">
        <row r="7">
          <cell r="F7">
            <v>32200</v>
          </cell>
        </row>
        <row r="12">
          <cell r="F12">
            <v>11000</v>
          </cell>
        </row>
        <row r="21">
          <cell r="F21">
            <v>10746</v>
          </cell>
        </row>
        <row r="22">
          <cell r="F22">
            <v>141701</v>
          </cell>
        </row>
        <row r="23">
          <cell r="F23">
            <v>11904</v>
          </cell>
        </row>
        <row r="24">
          <cell r="F24">
            <v>0</v>
          </cell>
        </row>
        <row r="25">
          <cell r="F25">
            <v>4700</v>
          </cell>
        </row>
        <row r="26">
          <cell r="F26">
            <v>25290</v>
          </cell>
        </row>
        <row r="27">
          <cell r="F27">
            <v>76950</v>
          </cell>
        </row>
        <row r="28">
          <cell r="F28">
            <v>10334</v>
          </cell>
        </row>
        <row r="29">
          <cell r="F29">
            <v>3797</v>
          </cell>
        </row>
        <row r="30">
          <cell r="F30">
            <v>12375</v>
          </cell>
        </row>
        <row r="31">
          <cell r="F31">
            <v>1400</v>
          </cell>
        </row>
        <row r="32">
          <cell r="F32">
            <v>7600</v>
          </cell>
        </row>
        <row r="37">
          <cell r="F37">
            <v>95680</v>
          </cell>
        </row>
        <row r="47">
          <cell r="F47">
            <v>5760</v>
          </cell>
        </row>
        <row r="48">
          <cell r="F48">
            <v>36300</v>
          </cell>
        </row>
        <row r="49">
          <cell r="F49">
            <v>3000</v>
          </cell>
        </row>
        <row r="50">
          <cell r="F50">
            <v>14200</v>
          </cell>
        </row>
        <row r="51">
          <cell r="F51">
            <v>3500</v>
          </cell>
        </row>
        <row r="52">
          <cell r="F52">
            <v>26490</v>
          </cell>
        </row>
        <row r="53">
          <cell r="F53">
            <v>3800</v>
          </cell>
        </row>
        <row r="55">
          <cell r="F55">
            <v>5780</v>
          </cell>
        </row>
        <row r="56">
          <cell r="F56">
            <v>3000</v>
          </cell>
        </row>
        <row r="57">
          <cell r="F57">
            <v>13053</v>
          </cell>
        </row>
        <row r="58">
          <cell r="F58">
            <v>300</v>
          </cell>
        </row>
        <row r="59">
          <cell r="F59">
            <v>9400</v>
          </cell>
        </row>
        <row r="60">
          <cell r="F60">
            <v>66000</v>
          </cell>
        </row>
        <row r="61">
          <cell r="F61">
            <v>750</v>
          </cell>
        </row>
        <row r="62">
          <cell r="F62">
            <v>16740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view="pageBreakPreview" zoomScale="50" zoomScaleNormal="10" zoomScaleSheetLayoutView="50" workbookViewId="0">
      <pane ySplit="6" topLeftCell="A7" activePane="bottomLeft" state="frozen"/>
      <selection activeCell="P6" sqref="P6"/>
      <selection pane="bottomLeft" activeCell="S14" sqref="S1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9.28515625" bestFit="1" customWidth="1"/>
    <col min="11" max="11" width="13" bestFit="1" customWidth="1"/>
    <col min="12" max="14" width="25.85546875" bestFit="1" customWidth="1"/>
    <col min="15" max="15" width="20.140625" bestFit="1" customWidth="1"/>
    <col min="16" max="16" width="22" bestFit="1" customWidth="1"/>
  </cols>
  <sheetData>
    <row r="1" spans="1:26" ht="20.25" customHeight="1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20.25" customHeight="1">
      <c r="A2" s="901" t="s">
        <v>1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20.25" customHeight="1">
      <c r="A3" s="901" t="s">
        <v>354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20.25" customHeight="1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4" t="s">
        <v>14</v>
      </c>
    </row>
    <row r="7" spans="1:26" ht="20.25" customHeight="1">
      <c r="A7" s="896" t="s">
        <v>15</v>
      </c>
      <c r="B7" s="897"/>
      <c r="C7" s="897"/>
      <c r="D7" s="897"/>
      <c r="E7" s="897"/>
      <c r="F7" s="897"/>
      <c r="G7" s="898"/>
      <c r="H7" s="10"/>
      <c r="I7" s="11"/>
      <c r="J7" s="11"/>
      <c r="K7" s="12"/>
      <c r="L7" s="12"/>
      <c r="M7" s="12"/>
      <c r="N7" s="12"/>
      <c r="O7" s="12"/>
      <c r="P7" s="12"/>
    </row>
    <row r="8" spans="1:26" ht="20.25" customHeight="1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t="shared" ref="L8:N8" ca="1" si="0">L9+L10</f>
        <v>124105163</v>
      </c>
      <c r="M8" s="21">
        <f t="shared" ca="1" si="0"/>
        <v>127577911.24999999</v>
      </c>
      <c r="N8" s="21">
        <f t="shared" ca="1" si="0"/>
        <v>101146558.88999999</v>
      </c>
      <c r="O8" s="21">
        <f t="shared" ref="O8:O16" ca="1" si="1">IF(L8&gt;0,N8*100/L8,0)</f>
        <v>81.500685745040258</v>
      </c>
      <c r="P8" s="21">
        <f t="shared" ref="P8:P16" ca="1" si="2">IF(M8&gt;0,N8*100/M8,0)</f>
        <v>79.282187565992146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20.25" hidden="1" customHeight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9" si="3">L12+L15</f>
        <v>0</v>
      </c>
      <c r="M9" s="29">
        <f t="shared" si="3"/>
        <v>0</v>
      </c>
      <c r="N9" s="29">
        <f t="shared" si="3"/>
        <v>0</v>
      </c>
      <c r="O9" s="29">
        <f t="shared" si="1"/>
        <v>0</v>
      </c>
      <c r="P9" s="29">
        <f t="shared" si="2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20.25" hidden="1" customHeight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ref="L10:N10" ca="1" si="4">L13+L16</f>
        <v>124105163</v>
      </c>
      <c r="M10" s="29">
        <f t="shared" ca="1" si="4"/>
        <v>127577911.24999999</v>
      </c>
      <c r="N10" s="29">
        <f t="shared" ca="1" si="4"/>
        <v>101146558.88999999</v>
      </c>
      <c r="O10" s="29">
        <f t="shared" ca="1" si="1"/>
        <v>81.500685745040258</v>
      </c>
      <c r="P10" s="29">
        <f t="shared" ca="1" si="2"/>
        <v>79.282187565992146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20.25" customHeight="1">
      <c r="A11" s="31"/>
      <c r="B11" s="32"/>
      <c r="C11" s="32"/>
      <c r="D11" s="33" t="s">
        <v>20</v>
      </c>
      <c r="E11" s="32"/>
      <c r="F11" s="32"/>
      <c r="G11" s="34"/>
      <c r="H11" s="35" t="s">
        <v>12</v>
      </c>
      <c r="I11" s="36"/>
      <c r="J11" s="36"/>
      <c r="K11" s="37"/>
      <c r="L11" s="37">
        <f t="shared" ref="L11:N11" ca="1" si="5">L12+L13</f>
        <v>52955263</v>
      </c>
      <c r="M11" s="37">
        <f t="shared" ca="1" si="5"/>
        <v>57684276.11999999</v>
      </c>
      <c r="N11" s="37">
        <f t="shared" ca="1" si="5"/>
        <v>57684273.329999991</v>
      </c>
      <c r="O11" s="37">
        <f t="shared" ca="1" si="1"/>
        <v>108.93019893036882</v>
      </c>
      <c r="P11" s="37">
        <f t="shared" ca="1" si="2"/>
        <v>99.999995163326673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20.25" hidden="1" customHeight="1">
      <c r="A12" s="38"/>
      <c r="B12" s="39"/>
      <c r="C12" s="39"/>
      <c r="D12" s="39"/>
      <c r="E12" s="40" t="s">
        <v>18</v>
      </c>
      <c r="F12" s="39"/>
      <c r="G12" s="41"/>
      <c r="H12" s="42" t="s">
        <v>12</v>
      </c>
      <c r="I12" s="43"/>
      <c r="J12" s="43"/>
      <c r="K12" s="44"/>
      <c r="L12" s="44">
        <f t="shared" ref="L12:N12" si="6">L22+L32</f>
        <v>0</v>
      </c>
      <c r="M12" s="44">
        <f t="shared" si="6"/>
        <v>0</v>
      </c>
      <c r="N12" s="44">
        <f t="shared" si="6"/>
        <v>0</v>
      </c>
      <c r="O12" s="44">
        <f t="shared" si="1"/>
        <v>0</v>
      </c>
      <c r="P12" s="44">
        <f t="shared" si="2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20.25" hidden="1" customHeight="1">
      <c r="A13" s="38"/>
      <c r="B13" s="39"/>
      <c r="C13" s="39"/>
      <c r="D13" s="39"/>
      <c r="E13" s="40" t="s">
        <v>19</v>
      </c>
      <c r="F13" s="39"/>
      <c r="G13" s="41"/>
      <c r="H13" s="42" t="s">
        <v>12</v>
      </c>
      <c r="I13" s="43"/>
      <c r="J13" s="43"/>
      <c r="K13" s="44"/>
      <c r="L13" s="44">
        <f t="shared" ref="L13:N13" ca="1" si="7">L23+L33</f>
        <v>52955263</v>
      </c>
      <c r="M13" s="44">
        <f t="shared" ca="1" si="7"/>
        <v>57684276.11999999</v>
      </c>
      <c r="N13" s="44">
        <f t="shared" ca="1" si="7"/>
        <v>57684273.329999991</v>
      </c>
      <c r="O13" s="44">
        <f t="shared" ca="1" si="1"/>
        <v>108.93019893036882</v>
      </c>
      <c r="P13" s="44">
        <f t="shared" ca="1" si="2"/>
        <v>99.999995163326673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20.25" customHeight="1">
      <c r="A14" s="31"/>
      <c r="B14" s="32"/>
      <c r="C14" s="32"/>
      <c r="D14" s="33" t="s">
        <v>21</v>
      </c>
      <c r="E14" s="32"/>
      <c r="F14" s="32"/>
      <c r="G14" s="34"/>
      <c r="H14" s="35" t="s">
        <v>12</v>
      </c>
      <c r="I14" s="36"/>
      <c r="J14" s="36"/>
      <c r="K14" s="37"/>
      <c r="L14" s="37">
        <f t="shared" ref="L14:N14" ca="1" si="8">L15+L16</f>
        <v>71149900</v>
      </c>
      <c r="M14" s="37">
        <f t="shared" ca="1" si="8"/>
        <v>69893635.129999995</v>
      </c>
      <c r="N14" s="37">
        <f t="shared" ca="1" si="8"/>
        <v>43462285.560000002</v>
      </c>
      <c r="O14" s="37">
        <f t="shared" ca="1" si="1"/>
        <v>61.085518827152249</v>
      </c>
      <c r="P14" s="37">
        <f t="shared" ca="1" si="2"/>
        <v>62.183467034103316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20.25" hidden="1" customHeight="1">
      <c r="A15" s="38"/>
      <c r="B15" s="39"/>
      <c r="C15" s="39"/>
      <c r="D15" s="39"/>
      <c r="E15" s="40" t="s">
        <v>18</v>
      </c>
      <c r="F15" s="39"/>
      <c r="G15" s="41"/>
      <c r="H15" s="42" t="s">
        <v>12</v>
      </c>
      <c r="I15" s="43"/>
      <c r="J15" s="43"/>
      <c r="K15" s="44"/>
      <c r="L15" s="44">
        <f t="shared" ref="L15:N15" si="9">L25+L35</f>
        <v>0</v>
      </c>
      <c r="M15" s="44">
        <f t="shared" si="9"/>
        <v>0</v>
      </c>
      <c r="N15" s="44">
        <f t="shared" si="9"/>
        <v>0</v>
      </c>
      <c r="O15" s="44">
        <f t="shared" si="1"/>
        <v>0</v>
      </c>
      <c r="P15" s="44">
        <f t="shared" si="2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20.25" hidden="1" customHeight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ref="L16:N16" ca="1" si="10">L26+L36</f>
        <v>71149900</v>
      </c>
      <c r="M16" s="51">
        <f t="shared" ca="1" si="10"/>
        <v>69893635.129999995</v>
      </c>
      <c r="N16" s="51">
        <f t="shared" ca="1" si="10"/>
        <v>43462285.560000002</v>
      </c>
      <c r="O16" s="51">
        <f t="shared" ca="1" si="1"/>
        <v>61.085518827152249</v>
      </c>
      <c r="P16" s="51">
        <f t="shared" ca="1" si="2"/>
        <v>62.183467034103316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20.25" customHeight="1">
      <c r="A17" s="896" t="s">
        <v>22</v>
      </c>
      <c r="B17" s="897"/>
      <c r="C17" s="897"/>
      <c r="D17" s="897"/>
      <c r="E17" s="897"/>
      <c r="F17" s="897"/>
      <c r="G17" s="898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20.25" customHeight="1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t="shared" ref="L18:N18" ca="1" si="11">L19+L20</f>
        <v>108223463</v>
      </c>
      <c r="M18" s="21">
        <f t="shared" ca="1" si="11"/>
        <v>111443779.21999998</v>
      </c>
      <c r="N18" s="21">
        <f t="shared" ca="1" si="11"/>
        <v>85012426.859999985</v>
      </c>
      <c r="O18" s="21">
        <f t="shared" ref="O18:O26" ca="1" si="12">IF(L18&gt;0,N18*100/L18,0)</f>
        <v>78.552676567002834</v>
      </c>
      <c r="P18" s="21">
        <f t="shared" ref="P18:P26" ca="1" si="13">IF(M18&gt;0,N18*100/M18,0)</f>
        <v>76.282792503095081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20.25" hidden="1" customHeight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19" si="14">L22+L25</f>
        <v>0</v>
      </c>
      <c r="M19" s="29">
        <f t="shared" si="14"/>
        <v>0</v>
      </c>
      <c r="N19" s="29">
        <f t="shared" si="14"/>
        <v>0</v>
      </c>
      <c r="O19" s="29">
        <f t="shared" si="12"/>
        <v>0</v>
      </c>
      <c r="P19" s="29">
        <f t="shared" si="13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20.25" hidden="1" customHeight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ref="L20:N20" ca="1" si="15">L23+L26</f>
        <v>108223463</v>
      </c>
      <c r="M20" s="29">
        <f t="shared" ca="1" si="15"/>
        <v>111443779.21999998</v>
      </c>
      <c r="N20" s="29">
        <f t="shared" ca="1" si="15"/>
        <v>85012426.859999985</v>
      </c>
      <c r="O20" s="29">
        <f t="shared" ca="1" si="12"/>
        <v>78.552676567002834</v>
      </c>
      <c r="P20" s="29">
        <f t="shared" ca="1" si="13"/>
        <v>76.282792503095081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20.25" customHeight="1">
      <c r="A21" s="31"/>
      <c r="B21" s="32"/>
      <c r="C21" s="32"/>
      <c r="D21" s="33" t="s">
        <v>20</v>
      </c>
      <c r="E21" s="32"/>
      <c r="F21" s="32"/>
      <c r="G21" s="34"/>
      <c r="H21" s="35" t="s">
        <v>12</v>
      </c>
      <c r="I21" s="36"/>
      <c r="J21" s="36"/>
      <c r="K21" s="37"/>
      <c r="L21" s="37">
        <f t="shared" ref="L21:N21" ca="1" si="16">L22+L23</f>
        <v>37073563</v>
      </c>
      <c r="M21" s="37">
        <f t="shared" ca="1" si="16"/>
        <v>41550144.089999989</v>
      </c>
      <c r="N21" s="37">
        <f t="shared" ca="1" si="16"/>
        <v>41550141.29999999</v>
      </c>
      <c r="O21" s="37">
        <f t="shared" ca="1" si="12"/>
        <v>112.07485317772125</v>
      </c>
      <c r="P21" s="37">
        <f t="shared" ca="1" si="13"/>
        <v>99.999993285221848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20.25" hidden="1" customHeight="1">
      <c r="A22" s="38"/>
      <c r="B22" s="39"/>
      <c r="C22" s="39"/>
      <c r="D22" s="39"/>
      <c r="E22" s="40" t="s">
        <v>18</v>
      </c>
      <c r="F22" s="39"/>
      <c r="G22" s="41"/>
      <c r="H22" s="42" t="s">
        <v>12</v>
      </c>
      <c r="I22" s="43"/>
      <c r="J22" s="43"/>
      <c r="K22" s="44"/>
      <c r="L22" s="44">
        <f t="shared" ref="L22:N22" si="17">L45+L57+L70+L92+L123+L136+L153+L185+L169+L265+L281+L302+L319+L332+L349+L393+L406</f>
        <v>0</v>
      </c>
      <c r="M22" s="44">
        <f t="shared" si="17"/>
        <v>0</v>
      </c>
      <c r="N22" s="44">
        <f t="shared" si="17"/>
        <v>0</v>
      </c>
      <c r="O22" s="44">
        <f t="shared" si="12"/>
        <v>0</v>
      </c>
      <c r="P22" s="44">
        <f t="shared" si="13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20.25" hidden="1" customHeight="1">
      <c r="A23" s="38"/>
      <c r="B23" s="39"/>
      <c r="C23" s="39"/>
      <c r="D23" s="39"/>
      <c r="E23" s="40" t="s">
        <v>19</v>
      </c>
      <c r="F23" s="39"/>
      <c r="G23" s="41"/>
      <c r="H23" s="42" t="s">
        <v>12</v>
      </c>
      <c r="I23" s="43"/>
      <c r="J23" s="43"/>
      <c r="K23" s="44"/>
      <c r="L23" s="44">
        <f ca="1">L46+L58+L71+L93+L124+L137+L154+L186+L170+L266+L282+L303+L320+L333+L350+L394+L407</f>
        <v>37073563</v>
      </c>
      <c r="M23" s="44">
        <f ca="1">M46+M58+M71+M93+M124+M137+M154+M186+M170+M266+M282+M303+M460+M333+M350+M394+M407+M320</f>
        <v>41550144.089999989</v>
      </c>
      <c r="N23" s="44">
        <f ca="1">N46+N58+N71+N93+N124+N137+N154+N186+N170+N266+N282+N303+N320+N333+N350+N394+N407</f>
        <v>41550141.29999999</v>
      </c>
      <c r="O23" s="44">
        <f t="shared" ca="1" si="12"/>
        <v>112.07485317772125</v>
      </c>
      <c r="P23" s="44">
        <f t="shared" ca="1" si="13"/>
        <v>99.999993285221848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20.25" customHeight="1">
      <c r="A24" s="31"/>
      <c r="B24" s="32"/>
      <c r="C24" s="32"/>
      <c r="D24" s="33" t="s">
        <v>21</v>
      </c>
      <c r="E24" s="32"/>
      <c r="F24" s="32"/>
      <c r="G24" s="34"/>
      <c r="H24" s="35" t="s">
        <v>12</v>
      </c>
      <c r="I24" s="36"/>
      <c r="J24" s="36"/>
      <c r="K24" s="37"/>
      <c r="L24" s="37">
        <f t="shared" ref="L24:N24" ca="1" si="18">L25+L26</f>
        <v>71149900</v>
      </c>
      <c r="M24" s="37">
        <f t="shared" ca="1" si="18"/>
        <v>69893635.129999995</v>
      </c>
      <c r="N24" s="37">
        <f t="shared" ca="1" si="18"/>
        <v>43462285.560000002</v>
      </c>
      <c r="O24" s="37">
        <f t="shared" ca="1" si="12"/>
        <v>61.085518827152249</v>
      </c>
      <c r="P24" s="37">
        <f t="shared" ca="1" si="13"/>
        <v>62.183467034103316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20.25" hidden="1" customHeight="1">
      <c r="A25" s="38"/>
      <c r="B25" s="39"/>
      <c r="C25" s="39"/>
      <c r="D25" s="39"/>
      <c r="E25" s="40" t="s">
        <v>18</v>
      </c>
      <c r="F25" s="39"/>
      <c r="G25" s="41"/>
      <c r="H25" s="42" t="s">
        <v>12</v>
      </c>
      <c r="I25" s="43"/>
      <c r="J25" s="43"/>
      <c r="K25" s="44"/>
      <c r="L25" s="44">
        <f t="shared" ref="L25:L26" si="19">L48+L60+L73+L95+L126+L139+L156+L188+L172+L268+L284+L305+L322+L335+L352+L396+L409</f>
        <v>0</v>
      </c>
      <c r="M25" s="44">
        <f>M48+M60+M73+M95+M126+M139+M156+M188+M172+M268+M284+M305+M462+M335+M352+M396+M409</f>
        <v>0</v>
      </c>
      <c r="N25" s="44">
        <f>N48+N60+N73+N95+N126+N139+N156+N188+N172+N268+N284+N305+N322+N335+N352+N396+N409</f>
        <v>0</v>
      </c>
      <c r="O25" s="44">
        <f t="shared" si="12"/>
        <v>0</v>
      </c>
      <c r="P25" s="44">
        <f t="shared" si="13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20.25" hidden="1" customHeight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19"/>
        <v>71149900</v>
      </c>
      <c r="M26" s="51">
        <f t="shared" ref="M26:N26" ca="1" si="20">M49+M61+M74+M96+M127+M140+M157+M189+M173+M269+M285+M306+M323+M336+M353+M397+M410</f>
        <v>69893635.129999995</v>
      </c>
      <c r="N26" s="51">
        <f t="shared" ca="1" si="20"/>
        <v>43462285.560000002</v>
      </c>
      <c r="O26" s="51">
        <f t="shared" ca="1" si="12"/>
        <v>61.085518827152249</v>
      </c>
      <c r="P26" s="51">
        <f t="shared" ca="1" si="13"/>
        <v>62.183467034103316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20.25" customHeight="1">
      <c r="A27" s="896" t="s">
        <v>23</v>
      </c>
      <c r="B27" s="897"/>
      <c r="C27" s="897"/>
      <c r="D27" s="897"/>
      <c r="E27" s="897"/>
      <c r="F27" s="897"/>
      <c r="G27" s="898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20.25" customHeight="1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t="shared" ref="L28:N28" ca="1" si="21">L29+L30</f>
        <v>15881700</v>
      </c>
      <c r="M28" s="21">
        <f t="shared" ca="1" si="21"/>
        <v>16134132.029999999</v>
      </c>
      <c r="N28" s="21">
        <f t="shared" ca="1" si="21"/>
        <v>16134132.030000001</v>
      </c>
      <c r="O28" s="21">
        <f t="shared" ref="O28:O37" ca="1" si="22">IF(L28&gt;0,N28*100/L28,0)</f>
        <v>101.58945219970154</v>
      </c>
      <c r="P28" s="21">
        <f t="shared" ref="P28:P31" ca="1" si="23">IF(M28&gt;0,N28*100/M28,0)</f>
        <v>100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20.25" hidden="1" customHeight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29" si="24">L32+L35</f>
        <v>0</v>
      </c>
      <c r="M29" s="29">
        <f t="shared" si="24"/>
        <v>0</v>
      </c>
      <c r="N29" s="29">
        <f t="shared" si="24"/>
        <v>0</v>
      </c>
      <c r="O29" s="29">
        <f t="shared" si="22"/>
        <v>0</v>
      </c>
      <c r="P29" s="29">
        <f t="shared" si="23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20.25" hidden="1" customHeight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ref="L30:N30" ca="1" si="25">L33+L36</f>
        <v>15881700</v>
      </c>
      <c r="M30" s="29">
        <f t="shared" ca="1" si="25"/>
        <v>16134132.029999999</v>
      </c>
      <c r="N30" s="29">
        <f t="shared" ca="1" si="25"/>
        <v>16134132.030000001</v>
      </c>
      <c r="O30" s="29">
        <f t="shared" ca="1" si="22"/>
        <v>101.58945219970154</v>
      </c>
      <c r="P30" s="29">
        <f t="shared" ca="1" si="23"/>
        <v>100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20.25" customHeight="1">
      <c r="A31" s="31"/>
      <c r="B31" s="32"/>
      <c r="C31" s="32"/>
      <c r="D31" s="33" t="s">
        <v>20</v>
      </c>
      <c r="E31" s="32"/>
      <c r="F31" s="32"/>
      <c r="G31" s="34"/>
      <c r="H31" s="35" t="s">
        <v>12</v>
      </c>
      <c r="I31" s="36"/>
      <c r="J31" s="36"/>
      <c r="K31" s="37"/>
      <c r="L31" s="37">
        <f t="shared" ref="L31:N31" ca="1" si="26">L32+L33</f>
        <v>15881700</v>
      </c>
      <c r="M31" s="37">
        <f t="shared" ca="1" si="26"/>
        <v>16134132.029999999</v>
      </c>
      <c r="N31" s="37">
        <f t="shared" ca="1" si="26"/>
        <v>16134132.030000001</v>
      </c>
      <c r="O31" s="37">
        <f t="shared" ca="1" si="22"/>
        <v>101.58945219970154</v>
      </c>
      <c r="P31" s="37">
        <f t="shared" ca="1" si="23"/>
        <v>100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20.25" hidden="1" customHeight="1">
      <c r="A32" s="38"/>
      <c r="B32" s="39"/>
      <c r="C32" s="39"/>
      <c r="D32" s="39"/>
      <c r="E32" s="40" t="s">
        <v>18</v>
      </c>
      <c r="F32" s="39"/>
      <c r="G32" s="41"/>
      <c r="H32" s="42" t="s">
        <v>12</v>
      </c>
      <c r="I32" s="43"/>
      <c r="J32" s="43"/>
      <c r="K32" s="44"/>
      <c r="L32" s="44">
        <f t="shared" ref="L32:N32" si="27">L423+L448+L471+L506+L527+L548+L633+L659+L689+L741+L758+L774+L790+L809</f>
        <v>0</v>
      </c>
      <c r="M32" s="44">
        <f t="shared" si="27"/>
        <v>0</v>
      </c>
      <c r="N32" s="44">
        <f t="shared" si="27"/>
        <v>0</v>
      </c>
      <c r="O32" s="44">
        <f t="shared" si="22"/>
        <v>0</v>
      </c>
      <c r="P32" s="44">
        <f ca="1">IF(M46&gt;0,N32*100/M46,0)</f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20.25" hidden="1" customHeight="1">
      <c r="A33" s="38"/>
      <c r="B33" s="39"/>
      <c r="C33" s="39"/>
      <c r="D33" s="39"/>
      <c r="E33" s="40" t="s">
        <v>19</v>
      </c>
      <c r="F33" s="39"/>
      <c r="G33" s="41"/>
      <c r="H33" s="42" t="s">
        <v>12</v>
      </c>
      <c r="I33" s="43"/>
      <c r="J33" s="43"/>
      <c r="K33" s="44"/>
      <c r="L33" s="44">
        <f t="shared" ref="L33:N33" ca="1" si="28">L424+L449+L472+L507+L528+L549+L634+L660+L690+L742+L759+L775+L791+L810</f>
        <v>15881700</v>
      </c>
      <c r="M33" s="44">
        <f t="shared" ca="1" si="28"/>
        <v>16134132.029999999</v>
      </c>
      <c r="N33" s="44">
        <f t="shared" ca="1" si="28"/>
        <v>16134132.030000001</v>
      </c>
      <c r="O33" s="44">
        <f t="shared" ca="1" si="22"/>
        <v>101.58945219970154</v>
      </c>
      <c r="P33" s="44">
        <f t="shared" ref="P33:P37" ca="1" si="29">IF(M33&gt;0,N33*100/M33,0)</f>
        <v>100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20.25" customHeight="1">
      <c r="A34" s="31"/>
      <c r="B34" s="32"/>
      <c r="C34" s="32"/>
      <c r="D34" s="33" t="s">
        <v>21</v>
      </c>
      <c r="E34" s="32"/>
      <c r="F34" s="32"/>
      <c r="G34" s="34"/>
      <c r="H34" s="35" t="s">
        <v>12</v>
      </c>
      <c r="I34" s="36"/>
      <c r="J34" s="36"/>
      <c r="K34" s="37"/>
      <c r="L34" s="37">
        <f t="shared" ref="L34:N34" ca="1" si="30">L35+L36</f>
        <v>0</v>
      </c>
      <c r="M34" s="37">
        <f t="shared" si="30"/>
        <v>0</v>
      </c>
      <c r="N34" s="37">
        <f t="shared" si="30"/>
        <v>0</v>
      </c>
      <c r="O34" s="37">
        <f t="shared" ca="1" si="22"/>
        <v>0</v>
      </c>
      <c r="P34" s="37">
        <f t="shared" si="29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20.25" hidden="1" customHeight="1">
      <c r="A35" s="38"/>
      <c r="B35" s="39"/>
      <c r="C35" s="39"/>
      <c r="D35" s="39"/>
      <c r="E35" s="40" t="s">
        <v>18</v>
      </c>
      <c r="F35" s="39"/>
      <c r="G35" s="41"/>
      <c r="H35" s="42" t="s">
        <v>12</v>
      </c>
      <c r="I35" s="43"/>
      <c r="J35" s="43"/>
      <c r="K35" s="44"/>
      <c r="L35" s="44">
        <f t="shared" ref="L35:N35" si="31">L430+L455+L478+L513+L534+L556+L640+L666+L696+L748+L765+L781+L797+L816</f>
        <v>0</v>
      </c>
      <c r="M35" s="44">
        <f t="shared" si="31"/>
        <v>0</v>
      </c>
      <c r="N35" s="44">
        <f t="shared" si="31"/>
        <v>0</v>
      </c>
      <c r="O35" s="44">
        <f t="shared" si="22"/>
        <v>0</v>
      </c>
      <c r="P35" s="44">
        <f t="shared" si="29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20.25" hidden="1" customHeight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ref="L36:N36" ca="1" si="32">L431+L456+L479+L514+L535+L557+L641+L667+L697+L749+L766+L782+L798+L817</f>
        <v>0</v>
      </c>
      <c r="M36" s="51">
        <f t="shared" si="32"/>
        <v>0</v>
      </c>
      <c r="N36" s="51">
        <f t="shared" si="32"/>
        <v>0</v>
      </c>
      <c r="O36" s="51">
        <f t="shared" ca="1" si="22"/>
        <v>0</v>
      </c>
      <c r="P36" s="51">
        <f t="shared" si="29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20.25" customHeight="1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108223463</v>
      </c>
      <c r="M37" s="58">
        <f ca="1">M41+M53+M66+M88+M119+M132+M149+M165+M181+M261+M277+M298+M315+M468+M345+M389+M402</f>
        <v>109102779.22</v>
      </c>
      <c r="N37" s="58">
        <f ca="1">N41+N53+N66+N88+N119+N132+N149+N165+N181+N261+N277+N298+N315+N328+N345+N389+N402</f>
        <v>85012426.859999985</v>
      </c>
      <c r="O37" s="58">
        <f t="shared" ca="1" si="22"/>
        <v>78.552676567002834</v>
      </c>
      <c r="P37" s="58">
        <f t="shared" ca="1" si="29"/>
        <v>77.919579563208842</v>
      </c>
    </row>
    <row r="38" spans="1:26" ht="20.25" customHeight="1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20.25" customHeight="1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20.25" customHeight="1">
      <c r="A40" s="72"/>
      <c r="B40" s="899" t="s">
        <v>27</v>
      </c>
      <c r="C40" s="888"/>
      <c r="D40" s="888"/>
      <c r="E40" s="888"/>
      <c r="F40" s="888"/>
      <c r="G40" s="894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20.25" customHeight="1">
      <c r="A41" s="76"/>
      <c r="B41" s="77"/>
      <c r="C41" s="78" t="s">
        <v>16</v>
      </c>
      <c r="D41" s="79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t="shared" ref="L41:N41" ca="1" si="33">L42+L43</f>
        <v>5663953</v>
      </c>
      <c r="M41" s="84">
        <f t="shared" ca="1" si="33"/>
        <v>6388430.1299999999</v>
      </c>
      <c r="N41" s="84">
        <f t="shared" ca="1" si="33"/>
        <v>6388430.1299999999</v>
      </c>
      <c r="O41" s="84">
        <f t="shared" ref="O41:O45" ca="1" si="34">IF(L41&gt;0,N41*100/L41,0)</f>
        <v>112.79101592121262</v>
      </c>
      <c r="P41" s="84">
        <f t="shared" ref="P41:P49" ca="1" si="35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20.25" hidden="1" customHeight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2" si="36">L45+L48</f>
        <v>0</v>
      </c>
      <c r="M42" s="91">
        <f t="shared" si="36"/>
        <v>0</v>
      </c>
      <c r="N42" s="91">
        <f t="shared" si="36"/>
        <v>0</v>
      </c>
      <c r="O42" s="91">
        <f t="shared" si="34"/>
        <v>0</v>
      </c>
      <c r="P42" s="91">
        <f t="shared" si="35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20.25" hidden="1" customHeight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ref="L43:N43" ca="1" si="37">L46+L49</f>
        <v>5663953</v>
      </c>
      <c r="M43" s="91">
        <f t="shared" ca="1" si="37"/>
        <v>6388430.1299999999</v>
      </c>
      <c r="N43" s="91">
        <f t="shared" ca="1" si="37"/>
        <v>6388430.1299999999</v>
      </c>
      <c r="O43" s="91">
        <f t="shared" ca="1" si="34"/>
        <v>112.79101592121262</v>
      </c>
      <c r="P43" s="91">
        <f t="shared" ca="1" si="35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20.25" customHeight="1">
      <c r="A44" s="31"/>
      <c r="B44" s="32"/>
      <c r="C44" s="32"/>
      <c r="D44" s="33" t="s">
        <v>20</v>
      </c>
      <c r="E44" s="32"/>
      <c r="F44" s="32"/>
      <c r="G44" s="34"/>
      <c r="H44" s="35" t="s">
        <v>12</v>
      </c>
      <c r="I44" s="36"/>
      <c r="J44" s="36"/>
      <c r="K44" s="37"/>
      <c r="L44" s="37">
        <f t="shared" ref="L44:N44" ca="1" si="38">L45+L46</f>
        <v>5663953</v>
      </c>
      <c r="M44" s="37">
        <f t="shared" ca="1" si="38"/>
        <v>6388430.1299999999</v>
      </c>
      <c r="N44" s="37">
        <f t="shared" ca="1" si="38"/>
        <v>6388430.1299999999</v>
      </c>
      <c r="O44" s="37">
        <f t="shared" ca="1" si="34"/>
        <v>112.79101592121262</v>
      </c>
      <c r="P44" s="37">
        <f t="shared" ca="1" si="35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20.25" hidden="1" customHeight="1">
      <c r="A45" s="38"/>
      <c r="B45" s="39"/>
      <c r="C45" s="39"/>
      <c r="D45" s="39"/>
      <c r="E45" s="40" t="s">
        <v>18</v>
      </c>
      <c r="F45" s="39"/>
      <c r="G45" s="41"/>
      <c r="H45" s="42" t="s">
        <v>12</v>
      </c>
      <c r="I45" s="43"/>
      <c r="J45" s="43"/>
      <c r="K45" s="44"/>
      <c r="L45" s="92">
        <v>0</v>
      </c>
      <c r="M45" s="92">
        <v>0</v>
      </c>
      <c r="N45" s="92">
        <v>0</v>
      </c>
      <c r="O45" s="44">
        <f t="shared" si="34"/>
        <v>0</v>
      </c>
      <c r="P45" s="44">
        <f t="shared" si="35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20.25" hidden="1" customHeight="1">
      <c r="A46" s="38"/>
      <c r="B46" s="39"/>
      <c r="C46" s="39"/>
      <c r="D46" s="39"/>
      <c r="E46" s="40" t="s">
        <v>19</v>
      </c>
      <c r="F46" s="39"/>
      <c r="G46" s="41"/>
      <c r="H46" s="42" t="s">
        <v>12</v>
      </c>
      <c r="I46" s="43"/>
      <c r="J46" s="43"/>
      <c r="K46" s="44"/>
      <c r="L46" s="44">
        <f ca="1">IFERROR(__xludf.DUMMYFUNCTION("IMPORTRANGE(""https://docs.google.com/spreadsheets/d/1kC41EOXpGBFOW658Fs3oD8beYlym0-zO54WY-2Qnp9I/edit?usp=share_link"",""กระบี่!L46"")
+IMPORTRANGE(""https://docs.google.com/spreadsheets/d/1FbzMZY_f3MDiEuK7RpCQKrilJ_kpX0Wm7QBZ1L7EjIU/edit?usp=share_link"&amp;""",""ชุมพร!L46"")+IMPORTRANGE(""https://docs.google.com/spreadsheets/d/1v5sN-00LrXuhBxw4dkh2GrG_z4l5oAqOdJRBCsUyMaM/edit?usp=share_link"",""ตรัง!L46"")+IMPORTRANGE(""https://docs.google.com/spreadsheets/d/1T5rRTzFc79aSIvqnzkZNvwPstq829QYz_xALlO1Z0s8/edit?"&amp;"usp=share_link"",""นครศรีธรรมราช!L46"")+IMPORTRANGE(""https://docs.google.com/spreadsheets/d/1BeghqumK0IvCmRd2QOy6_afsZq7ZtAGrSnVJy2u7WmY/edit?usp=share_link"",""นราธิวาส!L46"")+IMPORTRANGE(""https://docs.google.com/spreadsheets/d/1IwnW3-jjRf74MCLW-6PiFwM"&amp;"UffRQXZwZA7YM609NmRc/edit?usp=share_link"",""ปัตตานี!L46"")+IMPORTRANGE(""https://docs.google.com/spreadsheets/d/1vl4QWbWdFruual5o_wdo6ZSqXZ_it806oja4CctTLKs/edit?usp=share_link"",""พังงา!L46"")+IMPORTRANGE(""https://docs.google.com/spreadsheets/d/1b6QssH"&amp;"Qp2FoAPSMKHOy273KNzAomaIKhtdlvuZ_zDNE/edit?usp=share_link"",""พัทลุง!L46"")+IMPORTRANGE(""https://docs.google.com/spreadsheets/d/1o7UZe4_OqlqtLDHrj01Z2YFRSZDf1DMy1n3XViHaxRc/edit?usp=share_link"",""ภูเก็ต!L46"")+IMPORTRANGE(""https://docs.google.com/sprea"&amp;"dsheets/d/1ctPm1vUzcUCPuOj9-eoHUD85PqINFqUB0TjdSWmR5-c/edit?usp=share_link"",""ยะลา!L46"")+IMPORTRANGE(""https://docs.google.com/spreadsheets/d/1YiDIE7Klmt8osgdapRqYWNr7iPGFSsiJqq46S7PYRE0/edit?usp=share_link"",""ระนอง!L46"")+IMPORTRANGE(""https://docs.go"&amp;"ogle.com/spreadsheets/d/16o_4B-V7AWw_6E93bSpXj_XxVv1oVQctk-B6z1dNEWU/edit?usp=share_link"",""สงขลา!L46"")+IMPORTRANGE(""https://docs.google.com/spreadsheets/d/16cywr71Fj4fA5OGRHsZh30ZG2gwJhMAQv69oVBzYHv0/edit?usp=share_link"",""สตูล!L46"")+IMPORTRANGE(""h"&amp;"ttps://docs.google.com/spreadsheets/d/1vO9Sws6kMtrVtyvrAJptINXjK8TFBoX9xLYOVK_C8bQ/edit?usp=share_link"",""สุราษฎร์ธานี!L46"")"),5663953)</f>
        <v>5663953</v>
      </c>
      <c r="M46" s="44">
        <f ca="1">IFERROR(__xludf.DUMMYFUNCTION("IMPORTRANGE(""https://docs.google.com/spreadsheets/d/1kC41EOXpGBFOW658Fs3oD8beYlym0-zO54WY-2Qnp9I/edit?usp=share_link"",""กระบี่!M46"")
+IMPORTRANGE(""https://docs.google.com/spreadsheets/d/1FbzMZY_f3MDiEuK7RpCQKrilJ_kpX0Wm7QBZ1L7EjIU/edit?usp=share_link"&amp;""",""ชุมพร!M46"")+IMPORTRANGE(""https://docs.google.com/spreadsheets/d/1v5sN-00LrXuhBxw4dkh2GrG_z4l5oAqOdJRBCsUyMaM/edit?usp=share_link"",""ตรัง!M46"")+IMPORTRANGE(""https://docs.google.com/spreadsheets/d/1T5rRTzFc79aSIvqnzkZNvwPstq829QYz_xALlO1Z0s8/edit?"&amp;"usp=share_link"",""นครศรีธรรมราช!M46"")+IMPORTRANGE(""https://docs.google.com/spreadsheets/d/1BeghqumK0IvCmRd2QOy6_afsZq7ZtAGrSnVJy2u7WmY/edit?usp=share_link"",""นราธิวาส!M46"")+IMPORTRANGE(""https://docs.google.com/spreadsheets/d/1IwnW3-jjRf74MCLW-6PiFwM"&amp;"UffRQXZwZA7YM609NmRc/edit?usp=share_link"",""ปัตตานี!M46"")+IMPORTRANGE(""https://docs.google.com/spreadsheets/d/1vl4QWbWdFruual5o_wdo6ZSqXZ_it806oja4CctTLKs/edit?usp=share_link"",""พังงา!M46"")+IMPORTRANGE(""https://docs.google.com/spreadsheets/d/1b6QssH"&amp;"Qp2FoAPSMKHOy273KNzAomaIKhtdlvuZ_zDNE/edit?usp=share_link"",""พัทลุง!M46"")+IMPORTRANGE(""https://docs.google.com/spreadsheets/d/1o7UZe4_OqlqtLDHrj01Z2YFRSZDf1DMy1n3XViHaxRc/edit?usp=share_link"",""ภูเก็ต!M46"")+IMPORTRANGE(""https://docs.google.com/sprea"&amp;"dsheets/d/1ctPm1vUzcUCPuOj9-eoHUD85PqINFqUB0TjdSWmR5-c/edit?usp=share_link"",""ยะลา!M46"")+IMPORTRANGE(""https://docs.google.com/spreadsheets/d/1YiDIE7Klmt8osgdapRqYWNr7iPGFSsiJqq46S7PYRE0/edit?usp=share_link"",""ระนอง!M46"")+IMPORTRANGE(""https://docs.go"&amp;"ogle.com/spreadsheets/d/16o_4B-V7AWw_6E93bSpXj_XxVv1oVQctk-B6z1dNEWU/edit?usp=share_link"",""สงขลา!M46"")+IMPORTRANGE(""https://docs.google.com/spreadsheets/d/16cywr71Fj4fA5OGRHsZh30ZG2gwJhMAQv69oVBzYHv0/edit?usp=share_link"",""สตูล!M46"")+IMPORTRANGE(""h"&amp;"ttps://docs.google.com/spreadsheets/d/1vO9Sws6kMtrVtyvrAJptINXjK8TFBoX9xLYOVK_C8bQ/edit?usp=share_link"",""สุราษฎร์ธานี!M46"")"),6388430.13)</f>
        <v>6388430.1299999999</v>
      </c>
      <c r="N46" s="44">
        <f ca="1">IFERROR(__xludf.DUMMYFUNCTION("IMPORTRANGE(""https://docs.google.com/spreadsheets/d/1kC41EOXpGBFOW658Fs3oD8beYlym0-zO54WY-2Qnp9I/edit?usp=share_link"",""กระบี่!N46"")
+IMPORTRANGE(""https://docs.google.com/spreadsheets/d/1FbzMZY_f3MDiEuK7RpCQKrilJ_kpX0Wm7QBZ1L7EjIU/edit?usp=share_link"&amp;""",""ชุมพร!N46"")+IMPORTRANGE(""https://docs.google.com/spreadsheets/d/1v5sN-00LrXuhBxw4dkh2GrG_z4l5oAqOdJRBCsUyMaM/edit?usp=share_link"",""ตรัง!N46"")+IMPORTRANGE(""https://docs.google.com/spreadsheets/d/1T5rRTzFc79aSIvqnzkZNvwPstq829QYz_xALlO1Z0s8/edit?"&amp;"usp=share_link"",""นครศรีธรรมราช!N46"")+IMPORTRANGE(""https://docs.google.com/spreadsheets/d/1BeghqumK0IvCmRd2QOy6_afsZq7ZtAGrSnVJy2u7WmY/edit?usp=share_link"",""นราธิวาส!N46"")+IMPORTRANGE(""https://docs.google.com/spreadsheets/d/1IwnW3-jjRf74MCLW-6PiFwM"&amp;"UffRQXZwZA7YM609NmRc/edit?usp=share_link"",""ปัตตานี!N46"")+IMPORTRANGE(""https://docs.google.com/spreadsheets/d/1vl4QWbWdFruual5o_wdo6ZSqXZ_it806oja4CctTLKs/edit?usp=share_link"",""พังงา!N46"")+IMPORTRANGE(""https://docs.google.com/spreadsheets/d/1b6QssH"&amp;"Qp2FoAPSMKHOy273KNzAomaIKhtdlvuZ_zDNE/edit?usp=share_link"",""พัทลุง!N46"")+IMPORTRANGE(""https://docs.google.com/spreadsheets/d/1o7UZe4_OqlqtLDHrj01Z2YFRSZDf1DMy1n3XViHaxRc/edit?usp=share_link"",""ภูเก็ต!N46"")+IMPORTRANGE(""https://docs.google.com/sprea"&amp;"dsheets/d/1ctPm1vUzcUCPuOj9-eoHUD85PqINFqUB0TjdSWmR5-c/edit?usp=share_link"",""ยะลา!N46"")+IMPORTRANGE(""https://docs.google.com/spreadsheets/d/1YiDIE7Klmt8osgdapRqYWNr7iPGFSsiJqq46S7PYRE0/edit?usp=share_link"",""ระนอง!N46"")+IMPORTRANGE(""https://docs.go"&amp;"ogle.com/spreadsheets/d/16o_4B-V7AWw_6E93bSpXj_XxVv1oVQctk-B6z1dNEWU/edit?usp=share_link"",""สงขลา!N46"")+IMPORTRANGE(""https://docs.google.com/spreadsheets/d/16cywr71Fj4fA5OGRHsZh30ZG2gwJhMAQv69oVBzYHv0/edit?usp=share_link"",""สตูล!N46"")+IMPORTRANGE(""h"&amp;"ttps://docs.google.com/spreadsheets/d/1vO9Sws6kMtrVtyvrAJptINXjK8TFBoX9xLYOVK_C8bQ/edit?usp=share_link"",""สุราษฎร์ธานี!N46"")"),6388430.13)</f>
        <v>6388430.1299999999</v>
      </c>
      <c r="O46" s="44">
        <f ca="1">IF(M46&gt;0,N46*100/M46,0)</f>
        <v>100</v>
      </c>
      <c r="P46" s="44">
        <f t="shared" ca="1" si="35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20.25" customHeight="1">
      <c r="A47" s="31"/>
      <c r="B47" s="32"/>
      <c r="C47" s="32"/>
      <c r="D47" s="33" t="s">
        <v>21</v>
      </c>
      <c r="E47" s="32"/>
      <c r="F47" s="32"/>
      <c r="G47" s="34"/>
      <c r="H47" s="35" t="s">
        <v>12</v>
      </c>
      <c r="I47" s="36"/>
      <c r="J47" s="36"/>
      <c r="K47" s="37"/>
      <c r="L47" s="37">
        <f t="shared" ref="L47:N47" ca="1" si="39">L48+L49</f>
        <v>0</v>
      </c>
      <c r="M47" s="37">
        <f t="shared" ca="1" si="39"/>
        <v>0</v>
      </c>
      <c r="N47" s="37">
        <f t="shared" ca="1" si="39"/>
        <v>0</v>
      </c>
      <c r="O47" s="37">
        <f t="shared" ref="O47:O49" ca="1" si="40">IF(L47&gt;0,N47*100/L47,0)</f>
        <v>0</v>
      </c>
      <c r="P47" s="37">
        <f t="shared" ca="1" si="35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20.25" hidden="1" customHeight="1">
      <c r="A48" s="38"/>
      <c r="B48" s="39"/>
      <c r="C48" s="39"/>
      <c r="D48" s="39"/>
      <c r="E48" s="40" t="s">
        <v>18</v>
      </c>
      <c r="F48" s="39"/>
      <c r="G48" s="41"/>
      <c r="H48" s="42" t="s">
        <v>12</v>
      </c>
      <c r="I48" s="43"/>
      <c r="J48" s="43"/>
      <c r="K48" s="44"/>
      <c r="L48" s="92">
        <v>0</v>
      </c>
      <c r="M48" s="92">
        <v>0</v>
      </c>
      <c r="N48" s="92">
        <v>0</v>
      </c>
      <c r="O48" s="44">
        <f t="shared" si="40"/>
        <v>0</v>
      </c>
      <c r="P48" s="44">
        <f t="shared" si="35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20.25" hidden="1" customHeight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IFERROR(__xludf.DUMMYFUNCTION("IMPORTRANGE(""https://docs.google.com/spreadsheets/d/1kC41EOXpGBFOW658Fs3oD8beYlym0-zO54WY-2Qnp9I/edit?usp=share_link"",""กระบี่!L49"")
+IMPORTRANGE(""https://docs.google.com/spreadsheets/d/1FbzMZY_f3MDiEuK7RpCQKrilJ_kpX0Wm7QBZ1L7EjIU/edit?usp=share_link"&amp;""",""ชุมพร!L49"")+IMPORTRANGE(""https://docs.google.com/spreadsheets/d/1v5sN-00LrXuhBxw4dkh2GrG_z4l5oAqOdJRBCsUyMaM/edit?usp=share_link"",""ตรัง!L49"")+IMPORTRANGE(""https://docs.google.com/spreadsheets/d/1T5rRTzFc79aSIvqnzkZNvwPstq829QYz_xALlO1Z0s8/edit?"&amp;"usp=share_link"",""นครศรีธรรมราช!L49"")+IMPORTRANGE(""https://docs.google.com/spreadsheets/d/1BeghqumK0IvCmRd2QOy6_afsZq7ZtAGrSnVJy2u7WmY/edit?usp=share_link"",""นราธิวาส!L49"")+IMPORTRANGE(""https://docs.google.com/spreadsheets/d/1IwnW3-jjRf74MCLW-6PiFwM"&amp;"UffRQXZwZA7YM609NmRc/edit?usp=share_link"",""ปัตตานี!L49"")+IMPORTRANGE(""https://docs.google.com/spreadsheets/d/1vl4QWbWdFruual5o_wdo6ZSqXZ_it806oja4CctTLKs/edit?usp=share_link"",""พังงา!L49"")+IMPORTRANGE(""https://docs.google.com/spreadsheets/d/1b6QssH"&amp;"Qp2FoAPSMKHOy273KNzAomaIKhtdlvuZ_zDNE/edit?usp=share_link"",""พัทลุง!L49"")+IMPORTRANGE(""https://docs.google.com/spreadsheets/d/1o7UZe4_OqlqtLDHrj01Z2YFRSZDf1DMy1n3XViHaxRc/edit?usp=share_link"",""ภูเก็ต!L49"")+IMPORTRANGE(""https://docs.google.com/sprea"&amp;"dsheets/d/1ctPm1vUzcUCPuOj9-eoHUD85PqINFqUB0TjdSWmR5-c/edit?usp=share_link"",""ยะลา!L49"")+IMPORTRANGE(""https://docs.google.com/spreadsheets/d/1YiDIE7Klmt8osgdapRqYWNr7iPGFSsiJqq46S7PYRE0/edit?usp=share_link"",""ระนอง!L49"")+IMPORTRANGE(""https://docs.go"&amp;"ogle.com/spreadsheets/d/16o_4B-V7AWw_6E93bSpXj_XxVv1oVQctk-B6z1dNEWU/edit?usp=share_link"",""สงขลา!L49"")+IMPORTRANGE(""https://docs.google.com/spreadsheets/d/16cywr71Fj4fA5OGRHsZh30ZG2gwJhMAQv69oVBzYHv0/edit?usp=share_link"",""สตูล!L49"")+IMPORTRANGE(""h"&amp;"ttps://docs.google.com/spreadsheets/d/1vO9Sws6kMtrVtyvrAJptINXjK8TFBoX9xLYOVK_C8bQ/edit?usp=share_link"",""สุราษฎร์ธานี!L49"")"),0)</f>
        <v>0</v>
      </c>
      <c r="M49" s="51">
        <f ca="1">IFERROR(__xludf.DUMMYFUNCTION("IMPORTRANGE(""https://docs.google.com/spreadsheets/d/1kC41EOXpGBFOW658Fs3oD8beYlym0-zO54WY-2Qnp9I/edit?usp=share_link"",""กระบี่!M49"")
+IMPORTRANGE(""https://docs.google.com/spreadsheets/d/1FbzMZY_f3MDiEuK7RpCQKrilJ_kpX0Wm7QBZ1L7EjIU/edit?usp=share_link"&amp;""",""ชุมพร!M49"")+IMPORTRANGE(""https://docs.google.com/spreadsheets/d/1v5sN-00LrXuhBxw4dkh2GrG_z4l5oAqOdJRBCsUyMaM/edit?usp=share_link"",""ตรัง!M49"")+IMPORTRANGE(""https://docs.google.com/spreadsheets/d/1T5rRTzFc79aSIvqnzkZNvwPstq829QYz_xALlO1Z0s8/edit?"&amp;"usp=share_link"",""นครศรีธรรมราช!M49"")+IMPORTRANGE(""https://docs.google.com/spreadsheets/d/1BeghqumK0IvCmRd2QOy6_afsZq7ZtAGrSnVJy2u7WmY/edit?usp=share_link"",""นราธิวาส!M49"")+IMPORTRANGE(""https://docs.google.com/spreadsheets/d/1IwnW3-jjRf74MCLW-6PiFwM"&amp;"UffRQXZwZA7YM609NmRc/edit?usp=share_link"",""ปัตตานี!M49"")+IMPORTRANGE(""https://docs.google.com/spreadsheets/d/1vl4QWbWdFruual5o_wdo6ZSqXZ_it806oja4CctTLKs/edit?usp=share_link"",""พังงา!M49"")+IMPORTRANGE(""https://docs.google.com/spreadsheets/d/1b6QssH"&amp;"Qp2FoAPSMKHOy273KNzAomaIKhtdlvuZ_zDNE/edit?usp=share_link"",""พัทลุง!M49"")+IMPORTRANGE(""https://docs.google.com/spreadsheets/d/1o7UZe4_OqlqtLDHrj01Z2YFRSZDf1DMy1n3XViHaxRc/edit?usp=share_link"",""ภูเก็ต!M49"")+IMPORTRANGE(""https://docs.google.com/sprea"&amp;"dsheets/d/1ctPm1vUzcUCPuOj9-eoHUD85PqINFqUB0TjdSWmR5-c/edit?usp=share_link"",""ยะลา!M49"")+IMPORTRANGE(""https://docs.google.com/spreadsheets/d/1YiDIE7Klmt8osgdapRqYWNr7iPGFSsiJqq46S7PYRE0/edit?usp=share_link"",""ระนอง!M49"")+IMPORTRANGE(""https://docs.go"&amp;"ogle.com/spreadsheets/d/16o_4B-V7AWw_6E93bSpXj_XxVv1oVQctk-B6z1dNEWU/edit?usp=share_link"",""สงขลา!M49"")+IMPORTRANGE(""https://docs.google.com/spreadsheets/d/16cywr71Fj4fA5OGRHsZh30ZG2gwJhMAQv69oVBzYHv0/edit?usp=share_link"",""สตูล!M49"")+IMPORTRANGE(""h"&amp;"ttps://docs.google.com/spreadsheets/d/1vO9Sws6kMtrVtyvrAJptINXjK8TFBoX9xLYOVK_C8bQ/edit?usp=share_link"",""สุราษฎร์ธานี!M49"")"),0)</f>
        <v>0</v>
      </c>
      <c r="N49" s="51">
        <f ca="1">IFERROR(__xludf.DUMMYFUNCTION("IMPORTRANGE(""https://docs.google.com/spreadsheets/d/1kC41EOXpGBFOW658Fs3oD8beYlym0-zO54WY-2Qnp9I/edit?usp=share_link"",""กระบี่!N49"")
+IMPORTRANGE(""https://docs.google.com/spreadsheets/d/1FbzMZY_f3MDiEuK7RpCQKrilJ_kpX0Wm7QBZ1L7EjIU/edit?usp=share_link"&amp;""",""ชุมพร!N49"")+IMPORTRANGE(""https://docs.google.com/spreadsheets/d/1v5sN-00LrXuhBxw4dkh2GrG_z4l5oAqOdJRBCsUyMaM/edit?usp=share_link"",""ตรัง!N49"")+IMPORTRANGE(""https://docs.google.com/spreadsheets/d/1T5rRTzFc79aSIvqnzkZNvwPstq829QYz_xALlO1Z0s8/edit?"&amp;"usp=share_link"",""นครศรีธรรมราช!N49"")+IMPORTRANGE(""https://docs.google.com/spreadsheets/d/1BeghqumK0IvCmRd2QOy6_afsZq7ZtAGrSnVJy2u7WmY/edit?usp=share_link"",""นราธิวาส!N49"")+IMPORTRANGE(""https://docs.google.com/spreadsheets/d/1IwnW3-jjRf74MCLW-6PiFwM"&amp;"UffRQXZwZA7YM609NmRc/edit?usp=share_link"",""ปัตตานี!N49"")+IMPORTRANGE(""https://docs.google.com/spreadsheets/d/1vl4QWbWdFruual5o_wdo6ZSqXZ_it806oja4CctTLKs/edit?usp=share_link"",""พังงา!N49"")+IMPORTRANGE(""https://docs.google.com/spreadsheets/d/1b6QssH"&amp;"Qp2FoAPSMKHOy273KNzAomaIKhtdlvuZ_zDNE/edit?usp=share_link"",""พัทลุง!N49"")+IMPORTRANGE(""https://docs.google.com/spreadsheets/d/1o7UZe4_OqlqtLDHrj01Z2YFRSZDf1DMy1n3XViHaxRc/edit?usp=share_link"",""ภูเก็ต!N49"")+IMPORTRANGE(""https://docs.google.com/sprea"&amp;"dsheets/d/1ctPm1vUzcUCPuOj9-eoHUD85PqINFqUB0TjdSWmR5-c/edit?usp=share_link"",""ยะลา!N49"")+IMPORTRANGE(""https://docs.google.com/spreadsheets/d/1YiDIE7Klmt8osgdapRqYWNr7iPGFSsiJqq46S7PYRE0/edit?usp=share_link"",""ระนอง!N49"")+IMPORTRANGE(""https://docs.go"&amp;"ogle.com/spreadsheets/d/16o_4B-V7AWw_6E93bSpXj_XxVv1oVQctk-B6z1dNEWU/edit?usp=share_link"",""สงขลา!N49"")+IMPORTRANGE(""https://docs.google.com/spreadsheets/d/16cywr71Fj4fA5OGRHsZh30ZG2gwJhMAQv69oVBzYHv0/edit?usp=share_link"",""สตูล!N49"")+IMPORTRANGE(""h"&amp;"ttps://docs.google.com/spreadsheets/d/1vO9Sws6kMtrVtyvrAJptINXjK8TFBoX9xLYOVK_C8bQ/edit?usp=share_link"",""สุราษฎร์ธานี!N49"")"),0)</f>
        <v>0</v>
      </c>
      <c r="O49" s="51">
        <f t="shared" ca="1" si="40"/>
        <v>0</v>
      </c>
      <c r="P49" s="51">
        <f t="shared" ca="1" si="35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20.25" customHeight="1">
      <c r="A50" s="900" t="s">
        <v>28</v>
      </c>
      <c r="B50" s="897"/>
      <c r="C50" s="897"/>
      <c r="D50" s="897"/>
      <c r="E50" s="897"/>
      <c r="F50" s="897"/>
      <c r="G50" s="89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20.25" customHeight="1">
      <c r="A51" s="96"/>
      <c r="B51" s="893" t="s">
        <v>29</v>
      </c>
      <c r="C51" s="888"/>
      <c r="D51" s="888"/>
      <c r="E51" s="888"/>
      <c r="F51" s="888"/>
      <c r="G51" s="894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20.25" customHeight="1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20.25" customHeight="1">
      <c r="A53" s="107"/>
      <c r="B53" s="108"/>
      <c r="C53" s="109" t="s">
        <v>16</v>
      </c>
      <c r="D53" s="11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41">L54+L55</f>
        <v>14064900</v>
      </c>
      <c r="M53" s="115">
        <f t="shared" ca="1" si="41"/>
        <v>13458743.95999999</v>
      </c>
      <c r="N53" s="115">
        <f t="shared" ca="1" si="41"/>
        <v>13621710.339999991</v>
      </c>
      <c r="O53" s="115">
        <f t="shared" ref="O53:O61" ca="1" si="42">IF(L53&gt;0,N53*100/L53,0)</f>
        <v>96.848966860766808</v>
      </c>
      <c r="P53" s="115">
        <f t="shared" ref="P53:P61" ca="1" si="43">IF(M53&gt;0,N53*100/M53,0)</f>
        <v>101.21085875832354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20.25" hidden="1" customHeight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4" si="44">L57+L60</f>
        <v>0</v>
      </c>
      <c r="M54" s="122">
        <f t="shared" si="44"/>
        <v>0</v>
      </c>
      <c r="N54" s="122">
        <f t="shared" si="44"/>
        <v>0</v>
      </c>
      <c r="O54" s="122">
        <f t="shared" si="42"/>
        <v>0</v>
      </c>
      <c r="P54" s="122">
        <f t="shared" si="43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20.25" hidden="1" customHeight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ref="L55:N55" ca="1" si="45">L58+L61</f>
        <v>14064900</v>
      </c>
      <c r="M55" s="122">
        <f t="shared" ca="1" si="45"/>
        <v>13458743.95999999</v>
      </c>
      <c r="N55" s="122">
        <f t="shared" ca="1" si="45"/>
        <v>13621710.339999991</v>
      </c>
      <c r="O55" s="122">
        <f t="shared" ca="1" si="42"/>
        <v>96.848966860766808</v>
      </c>
      <c r="P55" s="122">
        <f t="shared" ca="1" si="43"/>
        <v>101.21085875832354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20.25" customHeight="1">
      <c r="A56" s="31"/>
      <c r="B56" s="32"/>
      <c r="C56" s="32"/>
      <c r="D56" s="33" t="s">
        <v>20</v>
      </c>
      <c r="E56" s="32"/>
      <c r="F56" s="32"/>
      <c r="G56" s="34"/>
      <c r="H56" s="35" t="s">
        <v>12</v>
      </c>
      <c r="I56" s="36"/>
      <c r="J56" s="36"/>
      <c r="K56" s="37"/>
      <c r="L56" s="37">
        <f t="shared" ref="L56:N56" ca="1" si="46">L57+L58</f>
        <v>8816200</v>
      </c>
      <c r="M56" s="37">
        <f t="shared" ca="1" si="46"/>
        <v>9476593.9599999897</v>
      </c>
      <c r="N56" s="37">
        <f t="shared" ca="1" si="46"/>
        <v>9476593.9099999908</v>
      </c>
      <c r="O56" s="37">
        <f t="shared" ca="1" si="42"/>
        <v>107.49068657698318</v>
      </c>
      <c r="P56" s="37">
        <f t="shared" ca="1" si="43"/>
        <v>99.999999472384289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20.25" hidden="1" customHeight="1">
      <c r="A57" s="38"/>
      <c r="B57" s="39"/>
      <c r="C57" s="39"/>
      <c r="D57" s="39"/>
      <c r="E57" s="40" t="s">
        <v>18</v>
      </c>
      <c r="F57" s="39"/>
      <c r="G57" s="41"/>
      <c r="H57" s="42" t="s">
        <v>12</v>
      </c>
      <c r="I57" s="43"/>
      <c r="J57" s="43"/>
      <c r="K57" s="44"/>
      <c r="L57" s="92">
        <v>0</v>
      </c>
      <c r="M57" s="92">
        <v>0</v>
      </c>
      <c r="N57" s="92">
        <v>0</v>
      </c>
      <c r="O57" s="44">
        <f t="shared" si="42"/>
        <v>0</v>
      </c>
      <c r="P57" s="44">
        <f t="shared" si="43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20.25" hidden="1" customHeight="1">
      <c r="A58" s="38"/>
      <c r="B58" s="39"/>
      <c r="C58" s="39"/>
      <c r="D58" s="39"/>
      <c r="E58" s="40" t="s">
        <v>19</v>
      </c>
      <c r="F58" s="39"/>
      <c r="G58" s="41"/>
      <c r="H58" s="42" t="s">
        <v>12</v>
      </c>
      <c r="I58" s="43"/>
      <c r="J58" s="43"/>
      <c r="K58" s="44"/>
      <c r="L58" s="44">
        <f ca="1">IFERROR(__xludf.DUMMYFUNCTION("IMPORTRANGE(""https://docs.google.com/spreadsheets/d/1kC41EOXpGBFOW658Fs3oD8beYlym0-zO54WY-2Qnp9I/edit?usp=share_link"",""กระบี่!L58"")
+IMPORTRANGE(""https://docs.google.com/spreadsheets/d/1FbzMZY_f3MDiEuK7RpCQKrilJ_kpX0Wm7QBZ1L7EjIU/edit?usp=share_link"&amp;""",""ชุมพร!L58"")+IMPORTRANGE(""https://docs.google.com/spreadsheets/d/1v5sN-00LrXuhBxw4dkh2GrG_z4l5oAqOdJRBCsUyMaM/edit?usp=share_link"",""ตรัง!L58"")+IMPORTRANGE(""https://docs.google.com/spreadsheets/d/1T5rRTzFc79aSIvqnzkZNvwPstq829QYz_xALlO1Z0s8/edit?"&amp;"usp=share_link"",""นครศรีธรรมราช!L58"")+IMPORTRANGE(""https://docs.google.com/spreadsheets/d/1BeghqumK0IvCmRd2QOy6_afsZq7ZtAGrSnVJy2u7WmY/edit?usp=share_link"",""นราธิวาส!L58"")+IMPORTRANGE(""https://docs.google.com/spreadsheets/d/1IwnW3-jjRf74MCLW-6PiFwM"&amp;"UffRQXZwZA7YM609NmRc/edit?usp=share_link"",""ปัตตานี!L58"")+IMPORTRANGE(""https://docs.google.com/spreadsheets/d/1vl4QWbWdFruual5o_wdo6ZSqXZ_it806oja4CctTLKs/edit?usp=share_link"",""พังงา!L58"")+IMPORTRANGE(""https://docs.google.com/spreadsheets/d/1b6QssH"&amp;"Qp2FoAPSMKHOy273KNzAomaIKhtdlvuZ_zDNE/edit?usp=share_link"",""พัทลุง!L58"")+IMPORTRANGE(""https://docs.google.com/spreadsheets/d/1o7UZe4_OqlqtLDHrj01Z2YFRSZDf1DMy1n3XViHaxRc/edit?usp=share_link"",""ภูเก็ต!L58"")+IMPORTRANGE(""https://docs.google.com/sprea"&amp;"dsheets/d/1ctPm1vUzcUCPuOj9-eoHUD85PqINFqUB0TjdSWmR5-c/edit?usp=share_link"",""ยะลา!L58"")+IMPORTRANGE(""https://docs.google.com/spreadsheets/d/1YiDIE7Klmt8osgdapRqYWNr7iPGFSsiJqq46S7PYRE0/edit?usp=share_link"",""ระนอง!L58"")+IMPORTRANGE(""https://docs.go"&amp;"ogle.com/spreadsheets/d/16o_4B-V7AWw_6E93bSpXj_XxVv1oVQctk-B6z1dNEWU/edit?usp=share_link"",""สงขลา!L58"")+IMPORTRANGE(""https://docs.google.com/spreadsheets/d/16cywr71Fj4fA5OGRHsZh30ZG2gwJhMAQv69oVBzYHv0/edit?usp=share_link"",""สตูล!L58"")+IMPORTRANGE(""h"&amp;"ttps://docs.google.com/spreadsheets/d/1vO9Sws6kMtrVtyvrAJptINXjK8TFBoX9xLYOVK_C8bQ/edit?usp=share_link"",""สุราษฎร์ธานี!L58"")"),8816200)</f>
        <v>8816200</v>
      </c>
      <c r="M58" s="44">
        <f ca="1">IFERROR(__xludf.DUMMYFUNCTION("IMPORTRANGE(""https://docs.google.com/spreadsheets/d/1kC41EOXpGBFOW658Fs3oD8beYlym0-zO54WY-2Qnp9I/edit?usp=share_link"",""กระบี่!M58"")
+IMPORTRANGE(""https://docs.google.com/spreadsheets/d/1FbzMZY_f3MDiEuK7RpCQKrilJ_kpX0Wm7QBZ1L7EjIU/edit?usp=share_link"&amp;""",""ชุมพร!M58"")+IMPORTRANGE(""https://docs.google.com/spreadsheets/d/1v5sN-00LrXuhBxw4dkh2GrG_z4l5oAqOdJRBCsUyMaM/edit?usp=share_link"",""ตรัง!M58"")+IMPORTRANGE(""https://docs.google.com/spreadsheets/d/1T5rRTzFc79aSIvqnzkZNvwPstq829QYz_xALlO1Z0s8/edit?"&amp;"usp=share_link"",""นครศรีธรรมราช!M58"")+IMPORTRANGE(""https://docs.google.com/spreadsheets/d/1BeghqumK0IvCmRd2QOy6_afsZq7ZtAGrSnVJy2u7WmY/edit?usp=share_link"",""นราธิวาส!M58"")+IMPORTRANGE(""https://docs.google.com/spreadsheets/d/1IwnW3-jjRf74MCLW-6PiFwM"&amp;"UffRQXZwZA7YM609NmRc/edit?usp=share_link"",""ปัตตานี!M58"")+IMPORTRANGE(""https://docs.google.com/spreadsheets/d/1vl4QWbWdFruual5o_wdo6ZSqXZ_it806oja4CctTLKs/edit?usp=share_link"",""พังงา!M58"")+IMPORTRANGE(""https://docs.google.com/spreadsheets/d/1b6QssH"&amp;"Qp2FoAPSMKHOy273KNzAomaIKhtdlvuZ_zDNE/edit?usp=share_link"",""พัทลุง!M58"")+IMPORTRANGE(""https://docs.google.com/spreadsheets/d/1o7UZe4_OqlqtLDHrj01Z2YFRSZDf1DMy1n3XViHaxRc/edit?usp=share_link"",""ภูเก็ต!M58"")+IMPORTRANGE(""https://docs.google.com/sprea"&amp;"dsheets/d/1ctPm1vUzcUCPuOj9-eoHUD85PqINFqUB0TjdSWmR5-c/edit?usp=share_link"",""ยะลา!M58"")+IMPORTRANGE(""https://docs.google.com/spreadsheets/d/1YiDIE7Klmt8osgdapRqYWNr7iPGFSsiJqq46S7PYRE0/edit?usp=share_link"",""ระนอง!M58"")+IMPORTRANGE(""https://docs.go"&amp;"ogle.com/spreadsheets/d/16o_4B-V7AWw_6E93bSpXj_XxVv1oVQctk-B6z1dNEWU/edit?usp=share_link"",""สงขลา!M58"")+IMPORTRANGE(""https://docs.google.com/spreadsheets/d/16cywr71Fj4fA5OGRHsZh30ZG2gwJhMAQv69oVBzYHv0/edit?usp=share_link"",""สตูล!M58"")+IMPORTRANGE(""h"&amp;"ttps://docs.google.com/spreadsheets/d/1vO9Sws6kMtrVtyvrAJptINXjK8TFBoX9xLYOVK_C8bQ/edit?usp=share_link"",""สุราษฎร์ธานี!M58"")"),9476593.95999999)</f>
        <v>9476593.9599999897</v>
      </c>
      <c r="N58" s="44">
        <f ca="1">IFERROR(__xludf.DUMMYFUNCTION("IMPORTRANGE(""https://docs.google.com/spreadsheets/d/1kC41EOXpGBFOW658Fs3oD8beYlym0-zO54WY-2Qnp9I/edit?usp=share_link"",""กระบี่!N58"")
+IMPORTRANGE(""https://docs.google.com/spreadsheets/d/1FbzMZY_f3MDiEuK7RpCQKrilJ_kpX0Wm7QBZ1L7EjIU/edit?usp=share_link"&amp;""",""ชุมพร!N58"")+IMPORTRANGE(""https://docs.google.com/spreadsheets/d/1v5sN-00LrXuhBxw4dkh2GrG_z4l5oAqOdJRBCsUyMaM/edit?usp=share_link"",""ตรัง!N58"")+IMPORTRANGE(""https://docs.google.com/spreadsheets/d/1T5rRTzFc79aSIvqnzkZNvwPstq829QYz_xALlO1Z0s8/edit?"&amp;"usp=share_link"",""นครศรีธรรมราช!N58"")+IMPORTRANGE(""https://docs.google.com/spreadsheets/d/1BeghqumK0IvCmRd2QOy6_afsZq7ZtAGrSnVJy2u7WmY/edit?usp=share_link"",""นราธิวาส!N58"")+IMPORTRANGE(""https://docs.google.com/spreadsheets/d/1IwnW3-jjRf74MCLW-6PiFwM"&amp;"UffRQXZwZA7YM609NmRc/edit?usp=share_link"",""ปัตตานี!N58"")+IMPORTRANGE(""https://docs.google.com/spreadsheets/d/1vl4QWbWdFruual5o_wdo6ZSqXZ_it806oja4CctTLKs/edit?usp=share_link"",""พังงา!N58"")+IMPORTRANGE(""https://docs.google.com/spreadsheets/d/1b6QssH"&amp;"Qp2FoAPSMKHOy273KNzAomaIKhtdlvuZ_zDNE/edit?usp=share_link"",""พัทลุง!N58"")+IMPORTRANGE(""https://docs.google.com/spreadsheets/d/1o7UZe4_OqlqtLDHrj01Z2YFRSZDf1DMy1n3XViHaxRc/edit?usp=share_link"",""ภูเก็ต!N58"")+IMPORTRANGE(""https://docs.google.com/sprea"&amp;"dsheets/d/1ctPm1vUzcUCPuOj9-eoHUD85PqINFqUB0TjdSWmR5-c/edit?usp=share_link"",""ยะลา!N58"")+IMPORTRANGE(""https://docs.google.com/spreadsheets/d/1YiDIE7Klmt8osgdapRqYWNr7iPGFSsiJqq46S7PYRE0/edit?usp=share_link"",""ระนอง!N58"")+IMPORTRANGE(""https://docs.go"&amp;"ogle.com/spreadsheets/d/16o_4B-V7AWw_6E93bSpXj_XxVv1oVQctk-B6z1dNEWU/edit?usp=share_link"",""สงขลา!N58"")+IMPORTRANGE(""https://docs.google.com/spreadsheets/d/16cywr71Fj4fA5OGRHsZh30ZG2gwJhMAQv69oVBzYHv0/edit?usp=share_link"",""สตูล!N58"")+IMPORTRANGE(""h"&amp;"ttps://docs.google.com/spreadsheets/d/1vO9Sws6kMtrVtyvrAJptINXjK8TFBoX9xLYOVK_C8bQ/edit?usp=share_link"",""สุราษฎร์ธานี!N58"")"),9476593.90999999)</f>
        <v>9476593.9099999908</v>
      </c>
      <c r="O58" s="44">
        <f t="shared" ca="1" si="42"/>
        <v>107.49068657698318</v>
      </c>
      <c r="P58" s="44">
        <f t="shared" ca="1" si="43"/>
        <v>99.999999472384289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20.25" customHeight="1">
      <c r="A59" s="31"/>
      <c r="B59" s="32"/>
      <c r="C59" s="32"/>
      <c r="D59" s="33" t="s">
        <v>21</v>
      </c>
      <c r="E59" s="32"/>
      <c r="F59" s="32"/>
      <c r="G59" s="34"/>
      <c r="H59" s="35" t="s">
        <v>12</v>
      </c>
      <c r="I59" s="36"/>
      <c r="J59" s="36"/>
      <c r="K59" s="37"/>
      <c r="L59" s="37">
        <f t="shared" ref="L59:N59" ca="1" si="47">L60+L61</f>
        <v>5248700</v>
      </c>
      <c r="M59" s="37">
        <f t="shared" ca="1" si="47"/>
        <v>3982150</v>
      </c>
      <c r="N59" s="37">
        <f t="shared" ca="1" si="47"/>
        <v>4145116.43</v>
      </c>
      <c r="O59" s="37">
        <f t="shared" ca="1" si="42"/>
        <v>78.974154171509142</v>
      </c>
      <c r="P59" s="37">
        <f t="shared" ca="1" si="43"/>
        <v>104.09242318847859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20.25" hidden="1" customHeight="1">
      <c r="A60" s="38"/>
      <c r="B60" s="39"/>
      <c r="C60" s="39"/>
      <c r="D60" s="39"/>
      <c r="E60" s="40" t="s">
        <v>18</v>
      </c>
      <c r="F60" s="39"/>
      <c r="G60" s="41"/>
      <c r="H60" s="42" t="s">
        <v>12</v>
      </c>
      <c r="I60" s="43"/>
      <c r="J60" s="43"/>
      <c r="K60" s="44"/>
      <c r="L60" s="92">
        <v>0</v>
      </c>
      <c r="M60" s="92">
        <v>0</v>
      </c>
      <c r="N60" s="92">
        <v>0</v>
      </c>
      <c r="O60" s="44">
        <f t="shared" si="42"/>
        <v>0</v>
      </c>
      <c r="P60" s="44">
        <f t="shared" si="43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20.25" hidden="1" customHeight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IFERROR(__xludf.DUMMYFUNCTION("IMPORTRANGE(""https://docs.google.com/spreadsheets/d/1kC41EOXpGBFOW658Fs3oD8beYlym0-zO54WY-2Qnp9I/edit?usp=share_link"",""กระบี่!L61"")
+IMPORTRANGE(""https://docs.google.com/spreadsheets/d/1FbzMZY_f3MDiEuK7RpCQKrilJ_kpX0Wm7QBZ1L7EjIU/edit?usp=share_link"&amp;""",""ชุมพร!L61"")+IMPORTRANGE(""https://docs.google.com/spreadsheets/d/1v5sN-00LrXuhBxw4dkh2GrG_z4l5oAqOdJRBCsUyMaM/edit?usp=share_link"",""ตรัง!L61"")+IMPORTRANGE(""https://docs.google.com/spreadsheets/d/1T5rRTzFc79aSIvqnzkZNvwPstq829QYz_xALlO1Z0s8/edit?"&amp;"usp=share_link"",""นครศรีธรรมราช!L61"")+IMPORTRANGE(""https://docs.google.com/spreadsheets/d/1BeghqumK0IvCmRd2QOy6_afsZq7ZtAGrSnVJy2u7WmY/edit?usp=share_link"",""นราธิวาส!L61"")+IMPORTRANGE(""https://docs.google.com/spreadsheets/d/1IwnW3-jjRf74MCLW-6PiFwM"&amp;"UffRQXZwZA7YM609NmRc/edit?usp=share_link"",""ปัตตานี!L61"")+IMPORTRANGE(""https://docs.google.com/spreadsheets/d/1vl4QWbWdFruual5o_wdo6ZSqXZ_it806oja4CctTLKs/edit?usp=share_link"",""พังงา!L61"")+IMPORTRANGE(""https://docs.google.com/spreadsheets/d/1b6QssH"&amp;"Qp2FoAPSMKHOy273KNzAomaIKhtdlvuZ_zDNE/edit?usp=share_link"",""พัทลุง!L61"")+IMPORTRANGE(""https://docs.google.com/spreadsheets/d/1o7UZe4_OqlqtLDHrj01Z2YFRSZDf1DMy1n3XViHaxRc/edit?usp=share_link"",""ภูเก็ต!L61"")+IMPORTRANGE(""https://docs.google.com/sprea"&amp;"dsheets/d/1ctPm1vUzcUCPuOj9-eoHUD85PqINFqUB0TjdSWmR5-c/edit?usp=share_link"",""ยะลา!L61"")+IMPORTRANGE(""https://docs.google.com/spreadsheets/d/1YiDIE7Klmt8osgdapRqYWNr7iPGFSsiJqq46S7PYRE0/edit?usp=share_link"",""ระนอง!L61"")+IMPORTRANGE(""https://docs.go"&amp;"ogle.com/spreadsheets/d/16o_4B-V7AWw_6E93bSpXj_XxVv1oVQctk-B6z1dNEWU/edit?usp=share_link"",""สงขลา!L61"")+IMPORTRANGE(""https://docs.google.com/spreadsheets/d/16cywr71Fj4fA5OGRHsZh30ZG2gwJhMAQv69oVBzYHv0/edit?usp=share_link"",""สตูล!L61"")+IMPORTRANGE(""h"&amp;"ttps://docs.google.com/spreadsheets/d/1vO9Sws6kMtrVtyvrAJptINXjK8TFBoX9xLYOVK_C8bQ/edit?usp=share_link"",""สุราษฎร์ธานี!L61"")"),5248700)</f>
        <v>5248700</v>
      </c>
      <c r="M61" s="51">
        <f ca="1">IFERROR(__xludf.DUMMYFUNCTION("IMPORTRANGE(""https://docs.google.com/spreadsheets/d/1kC41EOXpGBFOW658Fs3oD8beYlym0-zO54WY-2Qnp9I/edit?usp=share_link"",""กระบี่!M61"")
+IMPORTRANGE(""https://docs.google.com/spreadsheets/d/1FbzMZY_f3MDiEuK7RpCQKrilJ_kpX0Wm7QBZ1L7EjIU/edit?usp=share_link"&amp;""",""ชุมพร!M61"")+IMPORTRANGE(""https://docs.google.com/spreadsheets/d/1v5sN-00LrXuhBxw4dkh2GrG_z4l5oAqOdJRBCsUyMaM/edit?usp=share_link"",""ตรัง!M61"")+IMPORTRANGE(""https://docs.google.com/spreadsheets/d/1T5rRTzFc79aSIvqnzkZNvwPstq829QYz_xALlO1Z0s8/edit?"&amp;"usp=share_link"",""นครศรีธรรมราช!M61"")+IMPORTRANGE(""https://docs.google.com/spreadsheets/d/1BeghqumK0IvCmRd2QOy6_afsZq7ZtAGrSnVJy2u7WmY/edit?usp=share_link"",""นราธิวาส!M61"")+IMPORTRANGE(""https://docs.google.com/spreadsheets/d/1IwnW3-jjRf74MCLW-6PiFwM"&amp;"UffRQXZwZA7YM609NmRc/edit?usp=share_link"",""ปัตตานี!M61"")+IMPORTRANGE(""https://docs.google.com/spreadsheets/d/1vl4QWbWdFruual5o_wdo6ZSqXZ_it806oja4CctTLKs/edit?usp=share_link"",""พังงา!M61"")+IMPORTRANGE(""https://docs.google.com/spreadsheets/d/1b6QssH"&amp;"Qp2FoAPSMKHOy273KNzAomaIKhtdlvuZ_zDNE/edit?usp=share_link"",""พัทลุง!M61"")+IMPORTRANGE(""https://docs.google.com/spreadsheets/d/1o7UZe4_OqlqtLDHrj01Z2YFRSZDf1DMy1n3XViHaxRc/edit?usp=share_link"",""ภูเก็ต!M61"")+IMPORTRANGE(""https://docs.google.com/sprea"&amp;"dsheets/d/1ctPm1vUzcUCPuOj9-eoHUD85PqINFqUB0TjdSWmR5-c/edit?usp=share_link"",""ยะลา!M61"")+IMPORTRANGE(""https://docs.google.com/spreadsheets/d/1YiDIE7Klmt8osgdapRqYWNr7iPGFSsiJqq46S7PYRE0/edit?usp=share_link"",""ระนอง!M61"")+IMPORTRANGE(""https://docs.go"&amp;"ogle.com/spreadsheets/d/16o_4B-V7AWw_6E93bSpXj_XxVv1oVQctk-B6z1dNEWU/edit?usp=share_link"",""สงขลา!M61"")+IMPORTRANGE(""https://docs.google.com/spreadsheets/d/16cywr71Fj4fA5OGRHsZh30ZG2gwJhMAQv69oVBzYHv0/edit?usp=share_link"",""สตูล!M61"")+IMPORTRANGE(""h"&amp;"ttps://docs.google.com/spreadsheets/d/1vO9Sws6kMtrVtyvrAJptINXjK8TFBoX9xLYOVK_C8bQ/edit?usp=share_link"",""สุราษฎร์ธานี!M61"")"),3982150)</f>
        <v>3982150</v>
      </c>
      <c r="N61" s="51">
        <f ca="1">IFERROR(__xludf.DUMMYFUNCTION("IMPORTRANGE(""https://docs.google.com/spreadsheets/d/1kC41EOXpGBFOW658Fs3oD8beYlym0-zO54WY-2Qnp9I/edit?usp=share_link"",""กระบี่!N61"")
+IMPORTRANGE(""https://docs.google.com/spreadsheets/d/1FbzMZY_f3MDiEuK7RpCQKrilJ_kpX0Wm7QBZ1L7EjIU/edit?usp=share_link"&amp;""",""ชุมพร!N61"")+IMPORTRANGE(""https://docs.google.com/spreadsheets/d/1v5sN-00LrXuhBxw4dkh2GrG_z4l5oAqOdJRBCsUyMaM/edit?usp=share_link"",""ตรัง!N61"")+IMPORTRANGE(""https://docs.google.com/spreadsheets/d/1T5rRTzFc79aSIvqnzkZNvwPstq829QYz_xALlO1Z0s8/edit?"&amp;"usp=share_link"",""นครศรีธรรมราช!N61"")+IMPORTRANGE(""https://docs.google.com/spreadsheets/d/1BeghqumK0IvCmRd2QOy6_afsZq7ZtAGrSnVJy2u7WmY/edit?usp=share_link"",""นราธิวาส!N61"")+IMPORTRANGE(""https://docs.google.com/spreadsheets/d/1IwnW3-jjRf74MCLW-6PiFwM"&amp;"UffRQXZwZA7YM609NmRc/edit?usp=share_link"",""ปัตตานี!N61"")+IMPORTRANGE(""https://docs.google.com/spreadsheets/d/1vl4QWbWdFruual5o_wdo6ZSqXZ_it806oja4CctTLKs/edit?usp=share_link"",""พังงา!N61"")+IMPORTRANGE(""https://docs.google.com/spreadsheets/d/1b6QssH"&amp;"Qp2FoAPSMKHOy273KNzAomaIKhtdlvuZ_zDNE/edit?usp=share_link"",""พัทลุง!N61"")+IMPORTRANGE(""https://docs.google.com/spreadsheets/d/1o7UZe4_OqlqtLDHrj01Z2YFRSZDf1DMy1n3XViHaxRc/edit?usp=share_link"",""ภูเก็ต!N61"")+IMPORTRANGE(""https://docs.google.com/sprea"&amp;"dsheets/d/1ctPm1vUzcUCPuOj9-eoHUD85PqINFqUB0TjdSWmR5-c/edit?usp=share_link"",""ยะลา!N61"")+IMPORTRANGE(""https://docs.google.com/spreadsheets/d/1YiDIE7Klmt8osgdapRqYWNr7iPGFSsiJqq46S7PYRE0/edit?usp=share_link"",""ระนอง!N61"")+IMPORTRANGE(""https://docs.go"&amp;"ogle.com/spreadsheets/d/16o_4B-V7AWw_6E93bSpXj_XxVv1oVQctk-B6z1dNEWU/edit?usp=share_link"",""สงขลา!N61"")+IMPORTRANGE(""https://docs.google.com/spreadsheets/d/16cywr71Fj4fA5OGRHsZh30ZG2gwJhMAQv69oVBzYHv0/edit?usp=share_link"",""สตูล!N61"")+IMPORTRANGE(""h"&amp;"ttps://docs.google.com/spreadsheets/d/1vO9Sws6kMtrVtyvrAJptINXjK8TFBoX9xLYOVK_C8bQ/edit?usp=share_link"",""สุราษฎร์ธานี!N61"")"),4145116.43)</f>
        <v>4145116.43</v>
      </c>
      <c r="O61" s="51">
        <f t="shared" ca="1" si="42"/>
        <v>78.974154171509142</v>
      </c>
      <c r="P61" s="51">
        <f t="shared" ca="1" si="43"/>
        <v>104.09242318847859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20.25" customHeight="1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20.25" customHeight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20.25" customHeight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4" ca="1" si="48">I76</f>
        <v>4</v>
      </c>
      <c r="J64" s="143">
        <f t="shared" ca="1" si="48"/>
        <v>4</v>
      </c>
      <c r="K64" s="144">
        <f t="shared" ref="K64:K65" ca="1" si="49">IF(I64&gt;0,J64*100/I64,0)</f>
        <v>100</v>
      </c>
      <c r="L64" s="145"/>
      <c r="M64" s="145"/>
      <c r="N64" s="145"/>
      <c r="O64" s="145"/>
      <c r="P64" s="145"/>
    </row>
    <row r="65" spans="1:26" ht="20.25" customHeight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ref="I65:J65" ca="1" si="50">I77</f>
        <v>120</v>
      </c>
      <c r="J65" s="143">
        <f t="shared" ca="1" si="50"/>
        <v>120</v>
      </c>
      <c r="K65" s="144">
        <f t="shared" ca="1" si="49"/>
        <v>100</v>
      </c>
      <c r="L65" s="145"/>
      <c r="M65" s="145"/>
      <c r="N65" s="145"/>
      <c r="O65" s="145"/>
      <c r="P65" s="145"/>
    </row>
    <row r="66" spans="1:26" ht="20.25" customHeight="1">
      <c r="A66" s="146"/>
      <c r="B66" s="147"/>
      <c r="C66" s="148" t="s">
        <v>16</v>
      </c>
      <c r="D66" s="149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51">L67+L68</f>
        <v>2784200</v>
      </c>
      <c r="M66" s="154">
        <f t="shared" ca="1" si="51"/>
        <v>3086200</v>
      </c>
      <c r="N66" s="154">
        <f t="shared" ca="1" si="51"/>
        <v>3086200</v>
      </c>
      <c r="O66" s="154">
        <f t="shared" ref="O66:O74" ca="1" si="52">IF(L66&gt;0,N66*100/L66,0)</f>
        <v>110.84692191652898</v>
      </c>
      <c r="P66" s="154">
        <f t="shared" ref="P66:P74" ca="1" si="53">IF(M66&gt;0,N66*100/M66,0)</f>
        <v>100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20.25" hidden="1" customHeight="1">
      <c r="A67" s="155"/>
      <c r="B67" s="39"/>
      <c r="C67" s="39"/>
      <c r="D67" s="39"/>
      <c r="E67" s="40" t="s">
        <v>18</v>
      </c>
      <c r="F67" s="39"/>
      <c r="G67" s="156"/>
      <c r="H67" s="157" t="s">
        <v>12</v>
      </c>
      <c r="I67" s="43"/>
      <c r="J67" s="43"/>
      <c r="K67" s="44"/>
      <c r="L67" s="44">
        <f t="shared" ref="L67:N67" si="54">L70+L73</f>
        <v>0</v>
      </c>
      <c r="M67" s="44">
        <f t="shared" si="54"/>
        <v>0</v>
      </c>
      <c r="N67" s="44">
        <f t="shared" si="54"/>
        <v>0</v>
      </c>
      <c r="O67" s="44">
        <f t="shared" si="52"/>
        <v>0</v>
      </c>
      <c r="P67" s="44">
        <f t="shared" si="53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20.25" hidden="1" customHeight="1">
      <c r="A68" s="155"/>
      <c r="B68" s="39"/>
      <c r="C68" s="39"/>
      <c r="D68" s="39"/>
      <c r="E68" s="40" t="s">
        <v>19</v>
      </c>
      <c r="F68" s="39"/>
      <c r="G68" s="156"/>
      <c r="H68" s="157" t="s">
        <v>12</v>
      </c>
      <c r="I68" s="43"/>
      <c r="J68" s="43"/>
      <c r="K68" s="44"/>
      <c r="L68" s="44">
        <f t="shared" ref="L68:N68" ca="1" si="55">L71+L74</f>
        <v>2784200</v>
      </c>
      <c r="M68" s="44">
        <f t="shared" ca="1" si="55"/>
        <v>3086200</v>
      </c>
      <c r="N68" s="44">
        <f t="shared" ca="1" si="55"/>
        <v>3086200</v>
      </c>
      <c r="O68" s="44">
        <f t="shared" ca="1" si="52"/>
        <v>110.84692191652898</v>
      </c>
      <c r="P68" s="44">
        <f t="shared" ca="1" si="53"/>
        <v>100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20.25" customHeight="1">
      <c r="A69" s="158"/>
      <c r="B69" s="32"/>
      <c r="C69" s="159"/>
      <c r="D69" s="33" t="s">
        <v>20</v>
      </c>
      <c r="E69" s="32"/>
      <c r="F69" s="32"/>
      <c r="G69" s="34"/>
      <c r="H69" s="160" t="s">
        <v>12</v>
      </c>
      <c r="I69" s="161"/>
      <c r="J69" s="161"/>
      <c r="K69" s="162"/>
      <c r="L69" s="37">
        <f t="shared" ref="L69:N69" ca="1" si="56">L70+L71</f>
        <v>2784200</v>
      </c>
      <c r="M69" s="37">
        <f t="shared" ca="1" si="56"/>
        <v>3086200</v>
      </c>
      <c r="N69" s="37">
        <f t="shared" ca="1" si="56"/>
        <v>3086200</v>
      </c>
      <c r="O69" s="37">
        <f t="shared" ca="1" si="52"/>
        <v>110.84692191652898</v>
      </c>
      <c r="P69" s="37">
        <f t="shared" ca="1" si="53"/>
        <v>100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20.25" hidden="1" customHeight="1">
      <c r="A70" s="155"/>
      <c r="B70" s="39"/>
      <c r="C70" s="163"/>
      <c r="D70" s="39"/>
      <c r="E70" s="40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44">
        <f t="shared" si="52"/>
        <v>0</v>
      </c>
      <c r="P70" s="44">
        <f t="shared" si="53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20.25" hidden="1" customHeight="1">
      <c r="A71" s="155"/>
      <c r="B71" s="39"/>
      <c r="C71" s="163"/>
      <c r="D71" s="39"/>
      <c r="E71" s="40" t="s">
        <v>37</v>
      </c>
      <c r="F71" s="39"/>
      <c r="G71" s="156"/>
      <c r="H71" s="164" t="s">
        <v>12</v>
      </c>
      <c r="I71" s="165"/>
      <c r="J71" s="165"/>
      <c r="K71" s="166"/>
      <c r="L71" s="44">
        <f ca="1">IFERROR(__xludf.DUMMYFUNCTION("IMPORTRANGE(""https://docs.google.com/spreadsheets/d/1kC41EOXpGBFOW658Fs3oD8beYlym0-zO54WY-2Qnp9I/edit?usp=share_link"",""กระบี่!L71"")
+IMPORTRANGE(""https://docs.google.com/spreadsheets/d/1FbzMZY_f3MDiEuK7RpCQKrilJ_kpX0Wm7QBZ1L7EjIU/edit?usp=share_link"&amp;""",""ชุมพร!L71"")+IMPORTRANGE(""https://docs.google.com/spreadsheets/d/1v5sN-00LrXuhBxw4dkh2GrG_z4l5oAqOdJRBCsUyMaM/edit?usp=share_link"",""ตรัง!L71"")+IMPORTRANGE(""https://docs.google.com/spreadsheets/d/1T5rRTzFc79aSIvqnzkZNvwPstq829QYz_xALlO1Z0s8/edit?"&amp;"usp=share_link"",""นครศรีธรรมราช!L71"")+IMPORTRANGE(""https://docs.google.com/spreadsheets/d/1BeghqumK0IvCmRd2QOy6_afsZq7ZtAGrSnVJy2u7WmY/edit?usp=share_link"",""นราธิวาส!L71"")+IMPORTRANGE(""https://docs.google.com/spreadsheets/d/1IwnW3-jjRf74MCLW-6PiFwM"&amp;"UffRQXZwZA7YM609NmRc/edit?usp=share_link"",""ปัตตานี!L71"")+IMPORTRANGE(""https://docs.google.com/spreadsheets/d/1vl4QWbWdFruual5o_wdo6ZSqXZ_it806oja4CctTLKs/edit?usp=share_link"",""พังงา!L71"")+IMPORTRANGE(""https://docs.google.com/spreadsheets/d/1b6QssH"&amp;"Qp2FoAPSMKHOy273KNzAomaIKhtdlvuZ_zDNE/edit?usp=share_link"",""พัทลุง!L71"")+IMPORTRANGE(""https://docs.google.com/spreadsheets/d/1o7UZe4_OqlqtLDHrj01Z2YFRSZDf1DMy1n3XViHaxRc/edit?usp=share_link"",""ภูเก็ต!L71"")+IMPORTRANGE(""https://docs.google.com/sprea"&amp;"dsheets/d/1ctPm1vUzcUCPuOj9-eoHUD85PqINFqUB0TjdSWmR5-c/edit?usp=share_link"",""ยะลา!L71"")+IMPORTRANGE(""https://docs.google.com/spreadsheets/d/1YiDIE7Klmt8osgdapRqYWNr7iPGFSsiJqq46S7PYRE0/edit?usp=share_link"",""ระนอง!L71"")+IMPORTRANGE(""https://docs.go"&amp;"ogle.com/spreadsheets/d/16o_4B-V7AWw_6E93bSpXj_XxVv1oVQctk-B6z1dNEWU/edit?usp=share_link"",""สงขลา!L71"")+IMPORTRANGE(""https://docs.google.com/spreadsheets/d/16cywr71Fj4fA5OGRHsZh30ZG2gwJhMAQv69oVBzYHv0/edit?usp=share_link"",""สตูล!L71"")+IMPORTRANGE(""h"&amp;"ttps://docs.google.com/spreadsheets/d/1vO9Sws6kMtrVtyvrAJptINXjK8TFBoX9xLYOVK_C8bQ/edit?usp=share_link"",""สุราษฎร์ธานี!L71"")"),2784200)</f>
        <v>2784200</v>
      </c>
      <c r="M71" s="44">
        <f ca="1">IFERROR(__xludf.DUMMYFUNCTION("IMPORTRANGE(""https://docs.google.com/spreadsheets/d/1kC41EOXpGBFOW658Fs3oD8beYlym0-zO54WY-2Qnp9I/edit?usp=share_link"",""กระบี่!M71"")
+IMPORTRANGE(""https://docs.google.com/spreadsheets/d/1FbzMZY_f3MDiEuK7RpCQKrilJ_kpX0Wm7QBZ1L7EjIU/edit?usp=share_link"&amp;""",""ชุมพร!M71"")+IMPORTRANGE(""https://docs.google.com/spreadsheets/d/1v5sN-00LrXuhBxw4dkh2GrG_z4l5oAqOdJRBCsUyMaM/edit?usp=share_link"",""ตรัง!M71"")+IMPORTRANGE(""https://docs.google.com/spreadsheets/d/1T5rRTzFc79aSIvqnzkZNvwPstq829QYz_xALlO1Z0s8/edit?"&amp;"usp=share_link"",""นครศรีธรรมราช!M71"")+IMPORTRANGE(""https://docs.google.com/spreadsheets/d/1BeghqumK0IvCmRd2QOy6_afsZq7ZtAGrSnVJy2u7WmY/edit?usp=share_link"",""นราธิวาส!M71"")+IMPORTRANGE(""https://docs.google.com/spreadsheets/d/1IwnW3-jjRf74MCLW-6PiFwM"&amp;"UffRQXZwZA7YM609NmRc/edit?usp=share_link"",""ปัตตานี!M71"")+IMPORTRANGE(""https://docs.google.com/spreadsheets/d/1vl4QWbWdFruual5o_wdo6ZSqXZ_it806oja4CctTLKs/edit?usp=share_link"",""พังงา!M71"")+IMPORTRANGE(""https://docs.google.com/spreadsheets/d/1b6QssH"&amp;"Qp2FoAPSMKHOy273KNzAomaIKhtdlvuZ_zDNE/edit?usp=share_link"",""พัทลุง!M71"")+IMPORTRANGE(""https://docs.google.com/spreadsheets/d/1o7UZe4_OqlqtLDHrj01Z2YFRSZDf1DMy1n3XViHaxRc/edit?usp=share_link"",""ภูเก็ต!M71"")+IMPORTRANGE(""https://docs.google.com/sprea"&amp;"dsheets/d/1ctPm1vUzcUCPuOj9-eoHUD85PqINFqUB0TjdSWmR5-c/edit?usp=share_link"",""ยะลา!M71"")+IMPORTRANGE(""https://docs.google.com/spreadsheets/d/1YiDIE7Klmt8osgdapRqYWNr7iPGFSsiJqq46S7PYRE0/edit?usp=share_link"",""ระนอง!M71"")+IMPORTRANGE(""https://docs.go"&amp;"ogle.com/spreadsheets/d/16o_4B-V7AWw_6E93bSpXj_XxVv1oVQctk-B6z1dNEWU/edit?usp=share_link"",""สงขลา!M71"")+IMPORTRANGE(""https://docs.google.com/spreadsheets/d/16cywr71Fj4fA5OGRHsZh30ZG2gwJhMAQv69oVBzYHv0/edit?usp=share_link"",""สตูล!M71"")+IMPORTRANGE(""h"&amp;"ttps://docs.google.com/spreadsheets/d/1vO9Sws6kMtrVtyvrAJptINXjK8TFBoX9xLYOVK_C8bQ/edit?usp=share_link"",""สุราษฎร์ธานี!M71"")"),3086200)</f>
        <v>3086200</v>
      </c>
      <c r="N71" s="44">
        <f ca="1">IFERROR(__xludf.DUMMYFUNCTION("IMPORTRANGE(""https://docs.google.com/spreadsheets/d/1kC41EOXpGBFOW658Fs3oD8beYlym0-zO54WY-2Qnp9I/edit?usp=share_link"",""กระบี่!N71"")
+IMPORTRANGE(""https://docs.google.com/spreadsheets/d/1FbzMZY_f3MDiEuK7RpCQKrilJ_kpX0Wm7QBZ1L7EjIU/edit?usp=share_link"&amp;""",""ชุมพร!N71"")+IMPORTRANGE(""https://docs.google.com/spreadsheets/d/1v5sN-00LrXuhBxw4dkh2GrG_z4l5oAqOdJRBCsUyMaM/edit?usp=share_link"",""ตรัง!N71"")+IMPORTRANGE(""https://docs.google.com/spreadsheets/d/1T5rRTzFc79aSIvqnzkZNvwPstq829QYz_xALlO1Z0s8/edit?"&amp;"usp=share_link"",""นครศรีธรรมราช!N71"")+IMPORTRANGE(""https://docs.google.com/spreadsheets/d/1BeghqumK0IvCmRd2QOy6_afsZq7ZtAGrSnVJy2u7WmY/edit?usp=share_link"",""นราธิวาส!N71"")+IMPORTRANGE(""https://docs.google.com/spreadsheets/d/1IwnW3-jjRf74MCLW-6PiFwM"&amp;"UffRQXZwZA7YM609NmRc/edit?usp=share_link"",""ปัตตานี!N71"")+IMPORTRANGE(""https://docs.google.com/spreadsheets/d/1vl4QWbWdFruual5o_wdo6ZSqXZ_it806oja4CctTLKs/edit?usp=share_link"",""พังงา!N71"")+IMPORTRANGE(""https://docs.google.com/spreadsheets/d/1b6QssH"&amp;"Qp2FoAPSMKHOy273KNzAomaIKhtdlvuZ_zDNE/edit?usp=share_link"",""พัทลุง!N71"")+IMPORTRANGE(""https://docs.google.com/spreadsheets/d/1o7UZe4_OqlqtLDHrj01Z2YFRSZDf1DMy1n3XViHaxRc/edit?usp=share_link"",""ภูเก็ต!N71"")+IMPORTRANGE(""https://docs.google.com/sprea"&amp;"dsheets/d/1ctPm1vUzcUCPuOj9-eoHUD85PqINFqUB0TjdSWmR5-c/edit?usp=share_link"",""ยะลา!N71"")+IMPORTRANGE(""https://docs.google.com/spreadsheets/d/1YiDIE7Klmt8osgdapRqYWNr7iPGFSsiJqq46S7PYRE0/edit?usp=share_link"",""ระนอง!N71"")+IMPORTRANGE(""https://docs.go"&amp;"ogle.com/spreadsheets/d/16o_4B-V7AWw_6E93bSpXj_XxVv1oVQctk-B6z1dNEWU/edit?usp=share_link"",""สงขลา!N71"")+IMPORTRANGE(""https://docs.google.com/spreadsheets/d/16cywr71Fj4fA5OGRHsZh30ZG2gwJhMAQv69oVBzYHv0/edit?usp=share_link"",""สตูล!N71"")+IMPORTRANGE(""h"&amp;"ttps://docs.google.com/spreadsheets/d/1vO9Sws6kMtrVtyvrAJptINXjK8TFBoX9xLYOVK_C8bQ/edit?usp=share_link"",""สุราษฎร์ธานี!N71"")"),3086200)</f>
        <v>3086200</v>
      </c>
      <c r="O71" s="44">
        <f t="shared" ca="1" si="52"/>
        <v>110.84692191652898</v>
      </c>
      <c r="P71" s="44">
        <f t="shared" ca="1" si="53"/>
        <v>100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20.25" customHeight="1">
      <c r="A72" s="158"/>
      <c r="B72" s="32"/>
      <c r="C72" s="159"/>
      <c r="D72" s="33" t="s">
        <v>21</v>
      </c>
      <c r="E72" s="32"/>
      <c r="F72" s="32"/>
      <c r="G72" s="34"/>
      <c r="H72" s="167" t="s">
        <v>12</v>
      </c>
      <c r="I72" s="161"/>
      <c r="J72" s="161"/>
      <c r="K72" s="162"/>
      <c r="L72" s="37">
        <f t="shared" ref="L72:N72" ca="1" si="57">L73+L74</f>
        <v>0</v>
      </c>
      <c r="M72" s="37">
        <f t="shared" ca="1" si="57"/>
        <v>0</v>
      </c>
      <c r="N72" s="37">
        <f t="shared" ca="1" si="57"/>
        <v>0</v>
      </c>
      <c r="O72" s="37">
        <f t="shared" ca="1" si="52"/>
        <v>0</v>
      </c>
      <c r="P72" s="37">
        <f t="shared" ca="1" si="53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20.25" hidden="1" customHeight="1">
      <c r="A73" s="155"/>
      <c r="B73" s="39"/>
      <c r="C73" s="163"/>
      <c r="D73" s="39"/>
      <c r="E73" s="40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44"/>
      <c r="N73" s="44"/>
      <c r="O73" s="44">
        <f t="shared" si="52"/>
        <v>0</v>
      </c>
      <c r="P73" s="44">
        <f t="shared" si="53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20.25" hidden="1" customHeight="1">
      <c r="A74" s="155"/>
      <c r="B74" s="39"/>
      <c r="C74" s="163"/>
      <c r="D74" s="39"/>
      <c r="E74" s="40" t="s">
        <v>19</v>
      </c>
      <c r="F74" s="39"/>
      <c r="G74" s="156"/>
      <c r="H74" s="168" t="s">
        <v>12</v>
      </c>
      <c r="I74" s="165"/>
      <c r="J74" s="165"/>
      <c r="K74" s="166"/>
      <c r="L74" s="44">
        <f ca="1">IFERROR(__xludf.DUMMYFUNCTION("IMPORTRANGE(""https://docs.google.com/spreadsheets/d/1kC41EOXpGBFOW658Fs3oD8beYlym0-zO54WY-2Qnp9I/edit?usp=share_link"",""กระบี่!L74"")
+IMPORTRANGE(""https://docs.google.com/spreadsheets/d/1FbzMZY_f3MDiEuK7RpCQKrilJ_kpX0Wm7QBZ1L7EjIU/edit?usp=share_link"&amp;""",""ชุมพร!L74"")+IMPORTRANGE(""https://docs.google.com/spreadsheets/d/1v5sN-00LrXuhBxw4dkh2GrG_z4l5oAqOdJRBCsUyMaM/edit?usp=share_link"",""ตรัง!L74"")+IMPORTRANGE(""https://docs.google.com/spreadsheets/d/1T5rRTzFc79aSIvqnzkZNvwPstq829QYz_xALlO1Z0s8/edit?"&amp;"usp=share_link"",""นครศรีธรรมราช!L74"")+IMPORTRANGE(""https://docs.google.com/spreadsheets/d/1BeghqumK0IvCmRd2QOy6_afsZq7ZtAGrSnVJy2u7WmY/edit?usp=share_link"",""นราธิวาส!L74"")+IMPORTRANGE(""https://docs.google.com/spreadsheets/d/1IwnW3-jjRf74MCLW-6PiFwM"&amp;"UffRQXZwZA7YM609NmRc/edit?usp=share_link"",""ปัตตานี!L74"")+IMPORTRANGE(""https://docs.google.com/spreadsheets/d/1vl4QWbWdFruual5o_wdo6ZSqXZ_it806oja4CctTLKs/edit?usp=share_link"",""พังงา!L74"")+IMPORTRANGE(""https://docs.google.com/spreadsheets/d/1b6QssH"&amp;"Qp2FoAPSMKHOy273KNzAomaIKhtdlvuZ_zDNE/edit?usp=share_link"",""พัทลุง!L74"")+IMPORTRANGE(""https://docs.google.com/spreadsheets/d/1o7UZe4_OqlqtLDHrj01Z2YFRSZDf1DMy1n3XViHaxRc/edit?usp=share_link"",""ภูเก็ต!L74"")+IMPORTRANGE(""https://docs.google.com/sprea"&amp;"dsheets/d/1ctPm1vUzcUCPuOj9-eoHUD85PqINFqUB0TjdSWmR5-c/edit?usp=share_link"",""ยะลา!L74"")+IMPORTRANGE(""https://docs.google.com/spreadsheets/d/1YiDIE7Klmt8osgdapRqYWNr7iPGFSsiJqq46S7PYRE0/edit?usp=share_link"",""ระนอง!L74"")+IMPORTRANGE(""https://docs.go"&amp;"ogle.com/spreadsheets/d/16o_4B-V7AWw_6E93bSpXj_XxVv1oVQctk-B6z1dNEWU/edit?usp=share_link"",""สงขลา!L74"")+IMPORTRANGE(""https://docs.google.com/spreadsheets/d/16cywr71Fj4fA5OGRHsZh30ZG2gwJhMAQv69oVBzYHv0/edit?usp=share_link"",""สตูล!L74"")+IMPORTRANGE(""h"&amp;"ttps://docs.google.com/spreadsheets/d/1vO9Sws6kMtrVtyvrAJptINXjK8TFBoX9xLYOVK_C8bQ/edit?usp=share_link"",""สุราษฎร์ธานี!L74"")"),0)</f>
        <v>0</v>
      </c>
      <c r="M74" s="44">
        <f ca="1">IFERROR(__xludf.DUMMYFUNCTION("IMPORTRANGE(""https://docs.google.com/spreadsheets/d/1kC41EOXpGBFOW658Fs3oD8beYlym0-zO54WY-2Qnp9I/edit?usp=share_link"",""กระบี่!M74"")
+IMPORTRANGE(""https://docs.google.com/spreadsheets/d/1FbzMZY_f3MDiEuK7RpCQKrilJ_kpX0Wm7QBZ1L7EjIU/edit?usp=share_link"&amp;""",""ชุมพร!M74"")+IMPORTRANGE(""https://docs.google.com/spreadsheets/d/1v5sN-00LrXuhBxw4dkh2GrG_z4l5oAqOdJRBCsUyMaM/edit?usp=share_link"",""ตรัง!M74"")+IMPORTRANGE(""https://docs.google.com/spreadsheets/d/1T5rRTzFc79aSIvqnzkZNvwPstq829QYz_xALlO1Z0s8/edit?"&amp;"usp=share_link"",""นครศรีธรรมราช!M74"")+IMPORTRANGE(""https://docs.google.com/spreadsheets/d/1BeghqumK0IvCmRd2QOy6_afsZq7ZtAGrSnVJy2u7WmY/edit?usp=share_link"",""นราธิวาส!M74"")+IMPORTRANGE(""https://docs.google.com/spreadsheets/d/1IwnW3-jjRf74MCLW-6PiFwM"&amp;"UffRQXZwZA7YM609NmRc/edit?usp=share_link"",""ปัตตานี!M74"")+IMPORTRANGE(""https://docs.google.com/spreadsheets/d/1vl4QWbWdFruual5o_wdo6ZSqXZ_it806oja4CctTLKs/edit?usp=share_link"",""พังงา!M74"")+IMPORTRANGE(""https://docs.google.com/spreadsheets/d/1b6QssH"&amp;"Qp2FoAPSMKHOy273KNzAomaIKhtdlvuZ_zDNE/edit?usp=share_link"",""พัทลุง!M74"")+IMPORTRANGE(""https://docs.google.com/spreadsheets/d/1o7UZe4_OqlqtLDHrj01Z2YFRSZDf1DMy1n3XViHaxRc/edit?usp=share_link"",""ภูเก็ต!M74"")+IMPORTRANGE(""https://docs.google.com/sprea"&amp;"dsheets/d/1ctPm1vUzcUCPuOj9-eoHUD85PqINFqUB0TjdSWmR5-c/edit?usp=share_link"",""ยะลา!M74"")+IMPORTRANGE(""https://docs.google.com/spreadsheets/d/1YiDIE7Klmt8osgdapRqYWNr7iPGFSsiJqq46S7PYRE0/edit?usp=share_link"",""ระนอง!M74"")+IMPORTRANGE(""https://docs.go"&amp;"ogle.com/spreadsheets/d/16o_4B-V7AWw_6E93bSpXj_XxVv1oVQctk-B6z1dNEWU/edit?usp=share_link"",""สงขลา!M74"")+IMPORTRANGE(""https://docs.google.com/spreadsheets/d/16cywr71Fj4fA5OGRHsZh30ZG2gwJhMAQv69oVBzYHv0/edit?usp=share_link"",""สตูล!M74"")+IMPORTRANGE(""h"&amp;"ttps://docs.google.com/spreadsheets/d/1vO9Sws6kMtrVtyvrAJptINXjK8TFBoX9xLYOVK_C8bQ/edit?usp=share_link"",""สุราษฎร์ธานี!M74"")"),0)</f>
        <v>0</v>
      </c>
      <c r="N74" s="44">
        <f ca="1">IFERROR(__xludf.DUMMYFUNCTION("IMPORTRANGE(""https://docs.google.com/spreadsheets/d/1kC41EOXpGBFOW658Fs3oD8beYlym0-zO54WY-2Qnp9I/edit?usp=share_link"",""กระบี่!N74"")
+IMPORTRANGE(""https://docs.google.com/spreadsheets/d/1FbzMZY_f3MDiEuK7RpCQKrilJ_kpX0Wm7QBZ1L7EjIU/edit?usp=share_link"&amp;""",""ชุมพร!N74"")+IMPORTRANGE(""https://docs.google.com/spreadsheets/d/1v5sN-00LrXuhBxw4dkh2GrG_z4l5oAqOdJRBCsUyMaM/edit?usp=share_link"",""ตรัง!N74"")+IMPORTRANGE(""https://docs.google.com/spreadsheets/d/1T5rRTzFc79aSIvqnzkZNvwPstq829QYz_xALlO1Z0s8/edit?"&amp;"usp=share_link"",""นครศรีธรรมราช!N74"")+IMPORTRANGE(""https://docs.google.com/spreadsheets/d/1BeghqumK0IvCmRd2QOy6_afsZq7ZtAGrSnVJy2u7WmY/edit?usp=share_link"",""นราธิวาส!N74"")+IMPORTRANGE(""https://docs.google.com/spreadsheets/d/1IwnW3-jjRf74MCLW-6PiFwM"&amp;"UffRQXZwZA7YM609NmRc/edit?usp=share_link"",""ปัตตานี!N74"")+IMPORTRANGE(""https://docs.google.com/spreadsheets/d/1vl4QWbWdFruual5o_wdo6ZSqXZ_it806oja4CctTLKs/edit?usp=share_link"",""พังงา!N74"")+IMPORTRANGE(""https://docs.google.com/spreadsheets/d/1b6QssH"&amp;"Qp2FoAPSMKHOy273KNzAomaIKhtdlvuZ_zDNE/edit?usp=share_link"",""พัทลุง!N74"")+IMPORTRANGE(""https://docs.google.com/spreadsheets/d/1o7UZe4_OqlqtLDHrj01Z2YFRSZDf1DMy1n3XViHaxRc/edit?usp=share_link"",""ภูเก็ต!N74"")+IMPORTRANGE(""https://docs.google.com/sprea"&amp;"dsheets/d/1ctPm1vUzcUCPuOj9-eoHUD85PqINFqUB0TjdSWmR5-c/edit?usp=share_link"",""ยะลา!N74"")+IMPORTRANGE(""https://docs.google.com/spreadsheets/d/1YiDIE7Klmt8osgdapRqYWNr7iPGFSsiJqq46S7PYRE0/edit?usp=share_link"",""ระนอง!N74"")+IMPORTRANGE(""https://docs.go"&amp;"ogle.com/spreadsheets/d/16o_4B-V7AWw_6E93bSpXj_XxVv1oVQctk-B6z1dNEWU/edit?usp=share_link"",""สงขลา!N74"")+IMPORTRANGE(""https://docs.google.com/spreadsheets/d/16cywr71Fj4fA5OGRHsZh30ZG2gwJhMAQv69oVBzYHv0/edit?usp=share_link"",""สตูล!N74"")+IMPORTRANGE(""h"&amp;"ttps://docs.google.com/spreadsheets/d/1vO9Sws6kMtrVtyvrAJptINXjK8TFBoX9xLYOVK_C8bQ/edit?usp=share_link"",""สุราษฎร์ธานี!N74"")"),0)</f>
        <v>0</v>
      </c>
      <c r="O74" s="44">
        <f t="shared" ca="1" si="52"/>
        <v>0</v>
      </c>
      <c r="P74" s="44">
        <f t="shared" ca="1" si="53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20.25" customHeight="1">
      <c r="A75" s="169"/>
      <c r="B75" s="170"/>
      <c r="C75" s="163" t="s">
        <v>16</v>
      </c>
      <c r="D75" s="171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20.25" customHeight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6">
        <f t="shared" ref="I76:J76" ca="1" si="58">I78+I80+I82</f>
        <v>4</v>
      </c>
      <c r="J76" s="36">
        <f t="shared" ca="1" si="58"/>
        <v>4</v>
      </c>
      <c r="K76" s="162">
        <f t="shared" ref="K76:K84" ca="1" si="59">IF(I76&gt;0,J76*100/I76,0)</f>
        <v>100</v>
      </c>
      <c r="L76" s="162"/>
      <c r="M76" s="162"/>
      <c r="N76" s="162"/>
      <c r="O76" s="162"/>
      <c r="P76" s="162"/>
    </row>
    <row r="77" spans="1:26" ht="20.25" customHeight="1">
      <c r="A77" s="169"/>
      <c r="B77" s="170"/>
      <c r="C77" s="170"/>
      <c r="D77" s="170"/>
      <c r="E77" s="177"/>
      <c r="F77" s="177"/>
      <c r="G77" s="178"/>
      <c r="H77" s="179" t="s">
        <v>35</v>
      </c>
      <c r="I77" s="36">
        <f t="shared" ref="I77:J77" ca="1" si="60">I79+I81+I83</f>
        <v>120</v>
      </c>
      <c r="J77" s="36">
        <f t="shared" ca="1" si="60"/>
        <v>120</v>
      </c>
      <c r="K77" s="162">
        <f t="shared" ca="1" si="59"/>
        <v>100</v>
      </c>
      <c r="L77" s="162"/>
      <c r="M77" s="162"/>
      <c r="N77" s="162"/>
      <c r="O77" s="162"/>
      <c r="P77" s="162"/>
    </row>
    <row r="78" spans="1:26" ht="20.25" customHeight="1">
      <c r="A78" s="169"/>
      <c r="B78" s="170"/>
      <c r="C78" s="170"/>
      <c r="D78" s="170"/>
      <c r="E78" s="180" t="s">
        <v>40</v>
      </c>
      <c r="F78" s="176"/>
      <c r="G78" s="178"/>
      <c r="H78" s="181" t="s">
        <v>34</v>
      </c>
      <c r="I78" s="161">
        <f ca="1">IFERROR(__xludf.DUMMYFUNCTION("IMPORTRANGE(""https://docs.google.com/spreadsheets/d/1kC41EOXpGBFOW658Fs3oD8beYlym0-zO54WY-2Qnp9I/edit?usp=share_link"",""กระบี่!I78"")
+IMPORTRANGE(""https://docs.google.com/spreadsheets/d/1FbzMZY_f3MDiEuK7RpCQKrilJ_kpX0Wm7QBZ1L7EjIU/edit?usp=share_link"&amp;""",""ชุมพร!I78"")+IMPORTRANGE(""https://docs.google.com/spreadsheets/d/1v5sN-00LrXuhBxw4dkh2GrG_z4l5oAqOdJRBCsUyMaM/edit?usp=share_link"",""ตรัง!I78"")+IMPORTRANGE(""https://docs.google.com/spreadsheets/d/1T5rRTzFc79aSIvqnzkZNvwPstq829QYz_xALlO1Z0s8/edit?"&amp;"usp=share_link"",""นครศรีธรรมราช!I78"")+IMPORTRANGE(""https://docs.google.com/spreadsheets/d/1BeghqumK0IvCmRd2QOy6_afsZq7ZtAGrSnVJy2u7WmY/edit?usp=share_link"",""นราธิวาส!I78"")+IMPORTRANGE(""https://docs.google.com/spreadsheets/d/1IwnW3-jjRf74MCLW-6PiFwM"&amp;"UffRQXZwZA7YM609NmRc/edit?usp=share_link"",""ปัตตานี!I78"")+IMPORTRANGE(""https://docs.google.com/spreadsheets/d/1vl4QWbWdFruual5o_wdo6ZSqXZ_it806oja4CctTLKs/edit?usp=share_link"",""พังงา!I78"")+IMPORTRANGE(""https://docs.google.com/spreadsheets/d/1b6QssH"&amp;"Qp2FoAPSMKHOy273KNzAomaIKhtdlvuZ_zDNE/edit?usp=share_link"",""พัทลุง!I78"")+IMPORTRANGE(""https://docs.google.com/spreadsheets/d/1o7UZe4_OqlqtLDHrj01Z2YFRSZDf1DMy1n3XViHaxRc/edit?usp=share_link"",""ภูเก็ต!I78"")+IMPORTRANGE(""https://docs.google.com/sprea"&amp;"dsheets/d/1ctPm1vUzcUCPuOj9-eoHUD85PqINFqUB0TjdSWmR5-c/edit?usp=share_link"",""ยะลา!I78"")+IMPORTRANGE(""https://docs.google.com/spreadsheets/d/1YiDIE7Klmt8osgdapRqYWNr7iPGFSsiJqq46S7PYRE0/edit?usp=share_link"",""ระนอง!I78"")+IMPORTRANGE(""https://docs.go"&amp;"ogle.com/spreadsheets/d/16o_4B-V7AWw_6E93bSpXj_XxVv1oVQctk-B6z1dNEWU/edit?usp=share_link"",""สงขลา!I78"")+IMPORTRANGE(""https://docs.google.com/spreadsheets/d/16cywr71Fj4fA5OGRHsZh30ZG2gwJhMAQv69oVBzYHv0/edit?usp=share_link"",""สตูล!I78"")+IMPORTRANGE(""h"&amp;"ttps://docs.google.com/spreadsheets/d/1vO9Sws6kMtrVtyvrAJptINXjK8TFBoX9xLYOVK_C8bQ/edit?usp=share_link"",""สุราษฎร์ธานี!I78"")"),2)</f>
        <v>2</v>
      </c>
      <c r="J78" s="182">
        <f ca="1">IFERROR(__xludf.DUMMYFUNCTION("IMPORTRANGE(""https://docs.google.com/spreadsheets/d/1kC41EOXpGBFOW658Fs3oD8beYlym0-zO54WY-2Qnp9I/edit?usp=share_link"",""กระบี่!J78"")
+IMPORTRANGE(""https://docs.google.com/spreadsheets/d/1FbzMZY_f3MDiEuK7RpCQKrilJ_kpX0Wm7QBZ1L7EjIU/edit?usp=share_link"&amp;""",""ชุมพร!J78"")+IMPORTRANGE(""https://docs.google.com/spreadsheets/d/1v5sN-00LrXuhBxw4dkh2GrG_z4l5oAqOdJRBCsUyMaM/edit?usp=share_link"",""ตรัง!J78"")+IMPORTRANGE(""https://docs.google.com/spreadsheets/d/1T5rRTzFc79aSIvqnzkZNvwPstq829QYz_xALlO1Z0s8/edit?"&amp;"usp=share_link"",""นครศรีธรรมราช!J78"")+IMPORTRANGE(""https://docs.google.com/spreadsheets/d/1BeghqumK0IvCmRd2QOy6_afsZq7ZtAGrSnVJy2u7WmY/edit?usp=share_link"",""นราธิวาส!J78"")+IMPORTRANGE(""https://docs.google.com/spreadsheets/d/1IwnW3-jjRf74MCLW-6PiFwM"&amp;"UffRQXZwZA7YM609NmRc/edit?usp=share_link"",""ปัตตานี!J78"")+IMPORTRANGE(""https://docs.google.com/spreadsheets/d/1vl4QWbWdFruual5o_wdo6ZSqXZ_it806oja4CctTLKs/edit?usp=share_link"",""พังงา!J78"")+IMPORTRANGE(""https://docs.google.com/spreadsheets/d/1b6QssH"&amp;"Qp2FoAPSMKHOy273KNzAomaIKhtdlvuZ_zDNE/edit?usp=share_link"",""พัทลุง!J78"")+IMPORTRANGE(""https://docs.google.com/spreadsheets/d/1o7UZe4_OqlqtLDHrj01Z2YFRSZDf1DMy1n3XViHaxRc/edit?usp=share_link"",""ภูเก็ต!J78"")+IMPORTRANGE(""https://docs.google.com/sprea"&amp;"dsheets/d/1ctPm1vUzcUCPuOj9-eoHUD85PqINFqUB0TjdSWmR5-c/edit?usp=share_link"",""ยะลา!J78"")+IMPORTRANGE(""https://docs.google.com/spreadsheets/d/1YiDIE7Klmt8osgdapRqYWNr7iPGFSsiJqq46S7PYRE0/edit?usp=share_link"",""ระนอง!J78"")+IMPORTRANGE(""https://docs.go"&amp;"ogle.com/spreadsheets/d/16o_4B-V7AWw_6E93bSpXj_XxVv1oVQctk-B6z1dNEWU/edit?usp=share_link"",""สงขลา!J78"")+IMPORTRANGE(""https://docs.google.com/spreadsheets/d/16cywr71Fj4fA5OGRHsZh30ZG2gwJhMAQv69oVBzYHv0/edit?usp=share_link"",""สตูล!J78"")+IMPORTRANGE(""h"&amp;"ttps://docs.google.com/spreadsheets/d/1vO9Sws6kMtrVtyvrAJptINXjK8TFBoX9xLYOVK_C8bQ/edit?usp=share_link"",""สุราษฎร์ธานี!J78"")"),2)</f>
        <v>2</v>
      </c>
      <c r="K78" s="162">
        <f t="shared" ca="1" si="59"/>
        <v>100</v>
      </c>
      <c r="L78" s="162"/>
      <c r="M78" s="162"/>
      <c r="N78" s="162"/>
      <c r="O78" s="162"/>
      <c r="P78" s="162"/>
    </row>
    <row r="79" spans="1:26" ht="20.25" customHeight="1">
      <c r="A79" s="169"/>
      <c r="B79" s="170"/>
      <c r="C79" s="170"/>
      <c r="D79" s="170"/>
      <c r="E79" s="177"/>
      <c r="F79" s="177"/>
      <c r="G79" s="178"/>
      <c r="H79" s="181" t="s">
        <v>35</v>
      </c>
      <c r="I79" s="161">
        <f ca="1">IFERROR(__xludf.DUMMYFUNCTION("IMPORTRANGE(""https://docs.google.com/spreadsheets/d/1kC41EOXpGBFOW658Fs3oD8beYlym0-zO54WY-2Qnp9I/edit?usp=share_link"",""กระบี่!I79"")
+IMPORTRANGE(""https://docs.google.com/spreadsheets/d/1FbzMZY_f3MDiEuK7RpCQKrilJ_kpX0Wm7QBZ1L7EjIU/edit?usp=share_link"&amp;""",""ชุมพร!I79"")+IMPORTRANGE(""https://docs.google.com/spreadsheets/d/1v5sN-00LrXuhBxw4dkh2GrG_z4l5oAqOdJRBCsUyMaM/edit?usp=share_link"",""ตรัง!I79"")+IMPORTRANGE(""https://docs.google.com/spreadsheets/d/1T5rRTzFc79aSIvqnzkZNvwPstq829QYz_xALlO1Z0s8/edit?"&amp;"usp=share_link"",""นครศรีธรรมราช!I79"")+IMPORTRANGE(""https://docs.google.com/spreadsheets/d/1BeghqumK0IvCmRd2QOy6_afsZq7ZtAGrSnVJy2u7WmY/edit?usp=share_link"",""นราธิวาส!I79"")+IMPORTRANGE(""https://docs.google.com/spreadsheets/d/1IwnW3-jjRf74MCLW-6PiFwM"&amp;"UffRQXZwZA7YM609NmRc/edit?usp=share_link"",""ปัตตานี!I79"")+IMPORTRANGE(""https://docs.google.com/spreadsheets/d/1vl4QWbWdFruual5o_wdo6ZSqXZ_it806oja4CctTLKs/edit?usp=share_link"",""พังงา!I79"")+IMPORTRANGE(""https://docs.google.com/spreadsheets/d/1b6QssH"&amp;"Qp2FoAPSMKHOy273KNzAomaIKhtdlvuZ_zDNE/edit?usp=share_link"",""พัทลุง!I79"")+IMPORTRANGE(""https://docs.google.com/spreadsheets/d/1o7UZe4_OqlqtLDHrj01Z2YFRSZDf1DMy1n3XViHaxRc/edit?usp=share_link"",""ภูเก็ต!I79"")+IMPORTRANGE(""https://docs.google.com/sprea"&amp;"dsheets/d/1ctPm1vUzcUCPuOj9-eoHUD85PqINFqUB0TjdSWmR5-c/edit?usp=share_link"",""ยะลา!I79"")+IMPORTRANGE(""https://docs.google.com/spreadsheets/d/1YiDIE7Klmt8osgdapRqYWNr7iPGFSsiJqq46S7PYRE0/edit?usp=share_link"",""ระนอง!I79"")+IMPORTRANGE(""https://docs.go"&amp;"ogle.com/spreadsheets/d/16o_4B-V7AWw_6E93bSpXj_XxVv1oVQctk-B6z1dNEWU/edit?usp=share_link"",""สงขลา!I79"")+IMPORTRANGE(""https://docs.google.com/spreadsheets/d/16cywr71Fj4fA5OGRHsZh30ZG2gwJhMAQv69oVBzYHv0/edit?usp=share_link"",""สตูล!I79"")+IMPORTRANGE(""h"&amp;"ttps://docs.google.com/spreadsheets/d/1vO9Sws6kMtrVtyvrAJptINXjK8TFBoX9xLYOVK_C8bQ/edit?usp=share_link"",""สุราษฎร์ธานี!I79"")"),60)</f>
        <v>60</v>
      </c>
      <c r="J79" s="182">
        <f ca="1">IFERROR(__xludf.DUMMYFUNCTION("IMPORTRANGE(""https://docs.google.com/spreadsheets/d/1kC41EOXpGBFOW658Fs3oD8beYlym0-zO54WY-2Qnp9I/edit?usp=share_link"",""กระบี่!J79"")
+IMPORTRANGE(""https://docs.google.com/spreadsheets/d/1FbzMZY_f3MDiEuK7RpCQKrilJ_kpX0Wm7QBZ1L7EjIU/edit?usp=share_link"&amp;""",""ชุมพร!J79"")+IMPORTRANGE(""https://docs.google.com/spreadsheets/d/1v5sN-00LrXuhBxw4dkh2GrG_z4l5oAqOdJRBCsUyMaM/edit?usp=share_link"",""ตรัง!J79"")+IMPORTRANGE(""https://docs.google.com/spreadsheets/d/1T5rRTzFc79aSIvqnzkZNvwPstq829QYz_xALlO1Z0s8/edit?"&amp;"usp=share_link"",""นครศรีธรรมราช!J79"")+IMPORTRANGE(""https://docs.google.com/spreadsheets/d/1BeghqumK0IvCmRd2QOy6_afsZq7ZtAGrSnVJy2u7WmY/edit?usp=share_link"",""นราธิวาส!J79"")+IMPORTRANGE(""https://docs.google.com/spreadsheets/d/1IwnW3-jjRf74MCLW-6PiFwM"&amp;"UffRQXZwZA7YM609NmRc/edit?usp=share_link"",""ปัตตานี!J79"")+IMPORTRANGE(""https://docs.google.com/spreadsheets/d/1vl4QWbWdFruual5o_wdo6ZSqXZ_it806oja4CctTLKs/edit?usp=share_link"",""พังงา!J79"")+IMPORTRANGE(""https://docs.google.com/spreadsheets/d/1b6QssH"&amp;"Qp2FoAPSMKHOy273KNzAomaIKhtdlvuZ_zDNE/edit?usp=share_link"",""พัทลุง!J79"")+IMPORTRANGE(""https://docs.google.com/spreadsheets/d/1o7UZe4_OqlqtLDHrj01Z2YFRSZDf1DMy1n3XViHaxRc/edit?usp=share_link"",""ภูเก็ต!J79"")+IMPORTRANGE(""https://docs.google.com/sprea"&amp;"dsheets/d/1ctPm1vUzcUCPuOj9-eoHUD85PqINFqUB0TjdSWmR5-c/edit?usp=share_link"",""ยะลา!J79"")+IMPORTRANGE(""https://docs.google.com/spreadsheets/d/1YiDIE7Klmt8osgdapRqYWNr7iPGFSsiJqq46S7PYRE0/edit?usp=share_link"",""ระนอง!J79"")+IMPORTRANGE(""https://docs.go"&amp;"ogle.com/spreadsheets/d/16o_4B-V7AWw_6E93bSpXj_XxVv1oVQctk-B6z1dNEWU/edit?usp=share_link"",""สงขลา!J79"")+IMPORTRANGE(""https://docs.google.com/spreadsheets/d/16cywr71Fj4fA5OGRHsZh30ZG2gwJhMAQv69oVBzYHv0/edit?usp=share_link"",""สตูล!J79"")+IMPORTRANGE(""h"&amp;"ttps://docs.google.com/spreadsheets/d/1vO9Sws6kMtrVtyvrAJptINXjK8TFBoX9xLYOVK_C8bQ/edit?usp=share_link"",""สุราษฎร์ธานี!J79"")"),60)</f>
        <v>60</v>
      </c>
      <c r="K79" s="162">
        <f t="shared" ca="1" si="59"/>
        <v>100</v>
      </c>
      <c r="L79" s="162"/>
      <c r="M79" s="162"/>
      <c r="N79" s="162"/>
      <c r="O79" s="162"/>
      <c r="P79" s="162"/>
    </row>
    <row r="80" spans="1:26" ht="20.25" customHeight="1">
      <c r="A80" s="169"/>
      <c r="B80" s="170"/>
      <c r="C80" s="170"/>
      <c r="D80" s="170"/>
      <c r="E80" s="180" t="s">
        <v>41</v>
      </c>
      <c r="F80" s="176"/>
      <c r="G80" s="178"/>
      <c r="H80" s="181" t="s">
        <v>34</v>
      </c>
      <c r="I80" s="161">
        <f ca="1">IFERROR(__xludf.DUMMYFUNCTION("IMPORTRANGE(""https://docs.google.com/spreadsheets/d/1kC41EOXpGBFOW658Fs3oD8beYlym0-zO54WY-2Qnp9I/edit?usp=share_link"",""กระบี่!I80"")
+IMPORTRANGE(""https://docs.google.com/spreadsheets/d/1FbzMZY_f3MDiEuK7RpCQKrilJ_kpX0Wm7QBZ1L7EjIU/edit?usp=share_link"&amp;""",""ชุมพร!I80"")+IMPORTRANGE(""https://docs.google.com/spreadsheets/d/1v5sN-00LrXuhBxw4dkh2GrG_z4l5oAqOdJRBCsUyMaM/edit?usp=share_link"",""ตรัง!I80"")+IMPORTRANGE(""https://docs.google.com/spreadsheets/d/1T5rRTzFc79aSIvqnzkZNvwPstq829QYz_xALlO1Z0s8/edit?"&amp;"usp=share_link"",""นครศรีธรรมราช!I80"")+IMPORTRANGE(""https://docs.google.com/spreadsheets/d/1BeghqumK0IvCmRd2QOy6_afsZq7ZtAGrSnVJy2u7WmY/edit?usp=share_link"",""นราธิวาส!I80"")+IMPORTRANGE(""https://docs.google.com/spreadsheets/d/1IwnW3-jjRf74MCLW-6PiFwM"&amp;"UffRQXZwZA7YM609NmRc/edit?usp=share_link"",""ปัตตานี!I80"")+IMPORTRANGE(""https://docs.google.com/spreadsheets/d/1vl4QWbWdFruual5o_wdo6ZSqXZ_it806oja4CctTLKs/edit?usp=share_link"",""พังงา!I80"")+IMPORTRANGE(""https://docs.google.com/spreadsheets/d/1b6QssH"&amp;"Qp2FoAPSMKHOy273KNzAomaIKhtdlvuZ_zDNE/edit?usp=share_link"",""พัทลุง!I80"")+IMPORTRANGE(""https://docs.google.com/spreadsheets/d/1o7UZe4_OqlqtLDHrj01Z2YFRSZDf1DMy1n3XViHaxRc/edit?usp=share_link"",""ภูเก็ต!I80"")+IMPORTRANGE(""https://docs.google.com/sprea"&amp;"dsheets/d/1ctPm1vUzcUCPuOj9-eoHUD85PqINFqUB0TjdSWmR5-c/edit?usp=share_link"",""ยะลา!I80"")+IMPORTRANGE(""https://docs.google.com/spreadsheets/d/1YiDIE7Klmt8osgdapRqYWNr7iPGFSsiJqq46S7PYRE0/edit?usp=share_link"",""ระนอง!I80"")+IMPORTRANGE(""https://docs.go"&amp;"ogle.com/spreadsheets/d/16o_4B-V7AWw_6E93bSpXj_XxVv1oVQctk-B6z1dNEWU/edit?usp=share_link"",""สงขลา!I80"")+IMPORTRANGE(""https://docs.google.com/spreadsheets/d/16cywr71Fj4fA5OGRHsZh30ZG2gwJhMAQv69oVBzYHv0/edit?usp=share_link"",""สตูล!I80"")+IMPORTRANGE(""h"&amp;"ttps://docs.google.com/spreadsheets/d/1vO9Sws6kMtrVtyvrAJptINXjK8TFBoX9xLYOVK_C8bQ/edit?usp=share_link"",""สุราษฎร์ธานี!I80"")"),1)</f>
        <v>1</v>
      </c>
      <c r="J80" s="182">
        <f ca="1">IFERROR(__xludf.DUMMYFUNCTION("IMPORTRANGE(""https://docs.google.com/spreadsheets/d/1kC41EOXpGBFOW658Fs3oD8beYlym0-zO54WY-2Qnp9I/edit?usp=share_link"",""กระบี่!J80"")
+IMPORTRANGE(""https://docs.google.com/spreadsheets/d/1FbzMZY_f3MDiEuK7RpCQKrilJ_kpX0Wm7QBZ1L7EjIU/edit?usp=share_link"&amp;""",""ชุมพร!J80"")+IMPORTRANGE(""https://docs.google.com/spreadsheets/d/1v5sN-00LrXuhBxw4dkh2GrG_z4l5oAqOdJRBCsUyMaM/edit?usp=share_link"",""ตรัง!J80"")+IMPORTRANGE(""https://docs.google.com/spreadsheets/d/1T5rRTzFc79aSIvqnzkZNvwPstq829QYz_xALlO1Z0s8/edit?"&amp;"usp=share_link"",""นครศรีธรรมราช!J80"")+IMPORTRANGE(""https://docs.google.com/spreadsheets/d/1BeghqumK0IvCmRd2QOy6_afsZq7ZtAGrSnVJy2u7WmY/edit?usp=share_link"",""นราธิวาส!J80"")+IMPORTRANGE(""https://docs.google.com/spreadsheets/d/1IwnW3-jjRf74MCLW-6PiFwM"&amp;"UffRQXZwZA7YM609NmRc/edit?usp=share_link"",""ปัตตานี!J80"")+IMPORTRANGE(""https://docs.google.com/spreadsheets/d/1vl4QWbWdFruual5o_wdo6ZSqXZ_it806oja4CctTLKs/edit?usp=share_link"",""พังงา!J80"")+IMPORTRANGE(""https://docs.google.com/spreadsheets/d/1b6QssH"&amp;"Qp2FoAPSMKHOy273KNzAomaIKhtdlvuZ_zDNE/edit?usp=share_link"",""พัทลุง!J80"")+IMPORTRANGE(""https://docs.google.com/spreadsheets/d/1o7UZe4_OqlqtLDHrj01Z2YFRSZDf1DMy1n3XViHaxRc/edit?usp=share_link"",""ภูเก็ต!J80"")+IMPORTRANGE(""https://docs.google.com/sprea"&amp;"dsheets/d/1ctPm1vUzcUCPuOj9-eoHUD85PqINFqUB0TjdSWmR5-c/edit?usp=share_link"",""ยะลา!J80"")+IMPORTRANGE(""https://docs.google.com/spreadsheets/d/1YiDIE7Klmt8osgdapRqYWNr7iPGFSsiJqq46S7PYRE0/edit?usp=share_link"",""ระนอง!J80"")+IMPORTRANGE(""https://docs.go"&amp;"ogle.com/spreadsheets/d/16o_4B-V7AWw_6E93bSpXj_XxVv1oVQctk-B6z1dNEWU/edit?usp=share_link"",""สงขลา!J80"")+IMPORTRANGE(""https://docs.google.com/spreadsheets/d/16cywr71Fj4fA5OGRHsZh30ZG2gwJhMAQv69oVBzYHv0/edit?usp=share_link"",""สตูล!J80"")+IMPORTRANGE(""h"&amp;"ttps://docs.google.com/spreadsheets/d/1vO9Sws6kMtrVtyvrAJptINXjK8TFBoX9xLYOVK_C8bQ/edit?usp=share_link"",""สุราษฎร์ธานี!J80"")"),1)</f>
        <v>1</v>
      </c>
      <c r="K80" s="162">
        <f t="shared" ca="1" si="59"/>
        <v>100</v>
      </c>
      <c r="L80" s="162"/>
      <c r="M80" s="162"/>
      <c r="N80" s="162"/>
      <c r="O80" s="162"/>
      <c r="P80" s="162"/>
    </row>
    <row r="81" spans="1:26" ht="20.25" customHeight="1">
      <c r="A81" s="169"/>
      <c r="B81" s="170"/>
      <c r="C81" s="170"/>
      <c r="D81" s="170"/>
      <c r="E81" s="177"/>
      <c r="F81" s="177"/>
      <c r="G81" s="178"/>
      <c r="H81" s="181" t="s">
        <v>35</v>
      </c>
      <c r="I81" s="161">
        <f ca="1">IFERROR(__xludf.DUMMYFUNCTION("IMPORTRANGE(""https://docs.google.com/spreadsheets/d/1kC41EOXpGBFOW658Fs3oD8beYlym0-zO54WY-2Qnp9I/edit?usp=share_link"",""กระบี่!I81"")
+IMPORTRANGE(""https://docs.google.com/spreadsheets/d/1FbzMZY_f3MDiEuK7RpCQKrilJ_kpX0Wm7QBZ1L7EjIU/edit?usp=share_link"&amp;""",""ชุมพร!I81"")+IMPORTRANGE(""https://docs.google.com/spreadsheets/d/1v5sN-00LrXuhBxw4dkh2GrG_z4l5oAqOdJRBCsUyMaM/edit?usp=share_link"",""ตรัง!I81"")+IMPORTRANGE(""https://docs.google.com/spreadsheets/d/1T5rRTzFc79aSIvqnzkZNvwPstq829QYz_xALlO1Z0s8/edit?"&amp;"usp=share_link"",""นครศรีธรรมราช!I81"")+IMPORTRANGE(""https://docs.google.com/spreadsheets/d/1BeghqumK0IvCmRd2QOy6_afsZq7ZtAGrSnVJy2u7WmY/edit?usp=share_link"",""นราธิวาส!I81"")+IMPORTRANGE(""https://docs.google.com/spreadsheets/d/1IwnW3-jjRf74MCLW-6PiFwM"&amp;"UffRQXZwZA7YM609NmRc/edit?usp=share_link"",""ปัตตานี!I81"")+IMPORTRANGE(""https://docs.google.com/spreadsheets/d/1vl4QWbWdFruual5o_wdo6ZSqXZ_it806oja4CctTLKs/edit?usp=share_link"",""พังงา!I81"")+IMPORTRANGE(""https://docs.google.com/spreadsheets/d/1b6QssH"&amp;"Qp2FoAPSMKHOy273KNzAomaIKhtdlvuZ_zDNE/edit?usp=share_link"",""พัทลุง!I81"")+IMPORTRANGE(""https://docs.google.com/spreadsheets/d/1o7UZe4_OqlqtLDHrj01Z2YFRSZDf1DMy1n3XViHaxRc/edit?usp=share_link"",""ภูเก็ต!I81"")+IMPORTRANGE(""https://docs.google.com/sprea"&amp;"dsheets/d/1ctPm1vUzcUCPuOj9-eoHUD85PqINFqUB0TjdSWmR5-c/edit?usp=share_link"",""ยะลา!I81"")+IMPORTRANGE(""https://docs.google.com/spreadsheets/d/1YiDIE7Klmt8osgdapRqYWNr7iPGFSsiJqq46S7PYRE0/edit?usp=share_link"",""ระนอง!I81"")+IMPORTRANGE(""https://docs.go"&amp;"ogle.com/spreadsheets/d/16o_4B-V7AWw_6E93bSpXj_XxVv1oVQctk-B6z1dNEWU/edit?usp=share_link"",""สงขลา!I81"")+IMPORTRANGE(""https://docs.google.com/spreadsheets/d/16cywr71Fj4fA5OGRHsZh30ZG2gwJhMAQv69oVBzYHv0/edit?usp=share_link"",""สตูล!I81"")+IMPORTRANGE(""h"&amp;"ttps://docs.google.com/spreadsheets/d/1vO9Sws6kMtrVtyvrAJptINXjK8TFBoX9xLYOVK_C8bQ/edit?usp=share_link"",""สุราษฎร์ธานี!I81"")"),30)</f>
        <v>30</v>
      </c>
      <c r="J81" s="182">
        <f ca="1">IFERROR(__xludf.DUMMYFUNCTION("IMPORTRANGE(""https://docs.google.com/spreadsheets/d/1kC41EOXpGBFOW658Fs3oD8beYlym0-zO54WY-2Qnp9I/edit?usp=share_link"",""กระบี่!J81"")
+IMPORTRANGE(""https://docs.google.com/spreadsheets/d/1FbzMZY_f3MDiEuK7RpCQKrilJ_kpX0Wm7QBZ1L7EjIU/edit?usp=share_link"&amp;""",""ชุมพร!J81"")+IMPORTRANGE(""https://docs.google.com/spreadsheets/d/1v5sN-00LrXuhBxw4dkh2GrG_z4l5oAqOdJRBCsUyMaM/edit?usp=share_link"",""ตรัง!J81"")+IMPORTRANGE(""https://docs.google.com/spreadsheets/d/1T5rRTzFc79aSIvqnzkZNvwPstq829QYz_xALlO1Z0s8/edit?"&amp;"usp=share_link"",""นครศรีธรรมราช!J81"")+IMPORTRANGE(""https://docs.google.com/spreadsheets/d/1BeghqumK0IvCmRd2QOy6_afsZq7ZtAGrSnVJy2u7WmY/edit?usp=share_link"",""นราธิวาส!J81"")+IMPORTRANGE(""https://docs.google.com/spreadsheets/d/1IwnW3-jjRf74MCLW-6PiFwM"&amp;"UffRQXZwZA7YM609NmRc/edit?usp=share_link"",""ปัตตานี!J81"")+IMPORTRANGE(""https://docs.google.com/spreadsheets/d/1vl4QWbWdFruual5o_wdo6ZSqXZ_it806oja4CctTLKs/edit?usp=share_link"",""พังงา!J81"")+IMPORTRANGE(""https://docs.google.com/spreadsheets/d/1b6QssH"&amp;"Qp2FoAPSMKHOy273KNzAomaIKhtdlvuZ_zDNE/edit?usp=share_link"",""พัทลุง!J81"")+IMPORTRANGE(""https://docs.google.com/spreadsheets/d/1o7UZe4_OqlqtLDHrj01Z2YFRSZDf1DMy1n3XViHaxRc/edit?usp=share_link"",""ภูเก็ต!J81"")+IMPORTRANGE(""https://docs.google.com/sprea"&amp;"dsheets/d/1ctPm1vUzcUCPuOj9-eoHUD85PqINFqUB0TjdSWmR5-c/edit?usp=share_link"",""ยะลา!J81"")+IMPORTRANGE(""https://docs.google.com/spreadsheets/d/1YiDIE7Klmt8osgdapRqYWNr7iPGFSsiJqq46S7PYRE0/edit?usp=share_link"",""ระนอง!J81"")+IMPORTRANGE(""https://docs.go"&amp;"ogle.com/spreadsheets/d/16o_4B-V7AWw_6E93bSpXj_XxVv1oVQctk-B6z1dNEWU/edit?usp=share_link"",""สงขลา!J81"")+IMPORTRANGE(""https://docs.google.com/spreadsheets/d/16cywr71Fj4fA5OGRHsZh30ZG2gwJhMAQv69oVBzYHv0/edit?usp=share_link"",""สตูล!J81"")+IMPORTRANGE(""h"&amp;"ttps://docs.google.com/spreadsheets/d/1vO9Sws6kMtrVtyvrAJptINXjK8TFBoX9xLYOVK_C8bQ/edit?usp=share_link"",""สุราษฎร์ธานี!J81"")"),30)</f>
        <v>30</v>
      </c>
      <c r="K81" s="162">
        <f t="shared" ca="1" si="59"/>
        <v>100</v>
      </c>
      <c r="L81" s="162"/>
      <c r="M81" s="162"/>
      <c r="N81" s="162"/>
      <c r="O81" s="162"/>
      <c r="P81" s="162"/>
    </row>
    <row r="82" spans="1:26" ht="20.25" customHeight="1">
      <c r="A82" s="169"/>
      <c r="B82" s="170"/>
      <c r="C82" s="170"/>
      <c r="D82" s="170"/>
      <c r="E82" s="180" t="s">
        <v>42</v>
      </c>
      <c r="F82" s="176"/>
      <c r="G82" s="178"/>
      <c r="H82" s="181" t="s">
        <v>34</v>
      </c>
      <c r="I82" s="183">
        <f ca="1">IFERROR(__xludf.DUMMYFUNCTION("IMPORTRANGE(""https://docs.google.com/spreadsheets/d/1kC41EOXpGBFOW658Fs3oD8beYlym0-zO54WY-2Qnp9I/edit?usp=share_link"",""กระบี่!I82"")
+IMPORTRANGE(""https://docs.google.com/spreadsheets/d/1FbzMZY_f3MDiEuK7RpCQKrilJ_kpX0Wm7QBZ1L7EjIU/edit?usp=share_link"&amp;""",""ชุมพร!I82"")+IMPORTRANGE(""https://docs.google.com/spreadsheets/d/1v5sN-00LrXuhBxw4dkh2GrG_z4l5oAqOdJRBCsUyMaM/edit?usp=share_link"",""ตรัง!I82"")+IMPORTRANGE(""https://docs.google.com/spreadsheets/d/1T5rRTzFc79aSIvqnzkZNvwPstq829QYz_xALlO1Z0s8/edit?"&amp;"usp=share_link"",""นครศรีธรรมราช!I82"")+IMPORTRANGE(""https://docs.google.com/spreadsheets/d/1BeghqumK0IvCmRd2QOy6_afsZq7ZtAGrSnVJy2u7WmY/edit?usp=share_link"",""นราธิวาส!I82"")+IMPORTRANGE(""https://docs.google.com/spreadsheets/d/1IwnW3-jjRf74MCLW-6PiFwM"&amp;"UffRQXZwZA7YM609NmRc/edit?usp=share_link"",""ปัตตานี!I82"")+IMPORTRANGE(""https://docs.google.com/spreadsheets/d/1vl4QWbWdFruual5o_wdo6ZSqXZ_it806oja4CctTLKs/edit?usp=share_link"",""พังงา!I82"")+IMPORTRANGE(""https://docs.google.com/spreadsheets/d/1b6QssH"&amp;"Qp2FoAPSMKHOy273KNzAomaIKhtdlvuZ_zDNE/edit?usp=share_link"",""พัทลุง!I82"")+IMPORTRANGE(""https://docs.google.com/spreadsheets/d/1o7UZe4_OqlqtLDHrj01Z2YFRSZDf1DMy1n3XViHaxRc/edit?usp=share_link"",""ภูเก็ต!I82"")+IMPORTRANGE(""https://docs.google.com/sprea"&amp;"dsheets/d/1ctPm1vUzcUCPuOj9-eoHUD85PqINFqUB0TjdSWmR5-c/edit?usp=share_link"",""ยะลา!I82"")+IMPORTRANGE(""https://docs.google.com/spreadsheets/d/1YiDIE7Klmt8osgdapRqYWNr7iPGFSsiJqq46S7PYRE0/edit?usp=share_link"",""ระนอง!I82"")+IMPORTRANGE(""https://docs.go"&amp;"ogle.com/spreadsheets/d/16o_4B-V7AWw_6E93bSpXj_XxVv1oVQctk-B6z1dNEWU/edit?usp=share_link"",""สงขลา!I82"")+IMPORTRANGE(""https://docs.google.com/spreadsheets/d/16cywr71Fj4fA5OGRHsZh30ZG2gwJhMAQv69oVBzYHv0/edit?usp=share_link"",""สตูล!I82"")+IMPORTRANGE(""h"&amp;"ttps://docs.google.com/spreadsheets/d/1vO9Sws6kMtrVtyvrAJptINXjK8TFBoX9xLYOVK_C8bQ/edit?usp=share_link"",""สุราษฎร์ธานี!I82"")"),1)</f>
        <v>1</v>
      </c>
      <c r="J82" s="182">
        <f ca="1">IFERROR(__xludf.DUMMYFUNCTION("IMPORTRANGE(""https://docs.google.com/spreadsheets/d/1kC41EOXpGBFOW658Fs3oD8beYlym0-zO54WY-2Qnp9I/edit?usp=share_link"",""กระบี่!J82"")
+IMPORTRANGE(""https://docs.google.com/spreadsheets/d/1FbzMZY_f3MDiEuK7RpCQKrilJ_kpX0Wm7QBZ1L7EjIU/edit?usp=share_link"&amp;""",""ชุมพร!J82"")+IMPORTRANGE(""https://docs.google.com/spreadsheets/d/1v5sN-00LrXuhBxw4dkh2GrG_z4l5oAqOdJRBCsUyMaM/edit?usp=share_link"",""ตรัง!J82"")+IMPORTRANGE(""https://docs.google.com/spreadsheets/d/1T5rRTzFc79aSIvqnzkZNvwPstq829QYz_xALlO1Z0s8/edit?"&amp;"usp=share_link"",""นครศรีธรรมราช!J82"")+IMPORTRANGE(""https://docs.google.com/spreadsheets/d/1BeghqumK0IvCmRd2QOy6_afsZq7ZtAGrSnVJy2u7WmY/edit?usp=share_link"",""นราธิวาส!J82"")+IMPORTRANGE(""https://docs.google.com/spreadsheets/d/1IwnW3-jjRf74MCLW-6PiFwM"&amp;"UffRQXZwZA7YM609NmRc/edit?usp=share_link"",""ปัตตานี!J82"")+IMPORTRANGE(""https://docs.google.com/spreadsheets/d/1vl4QWbWdFruual5o_wdo6ZSqXZ_it806oja4CctTLKs/edit?usp=share_link"",""พังงา!J82"")+IMPORTRANGE(""https://docs.google.com/spreadsheets/d/1b6QssH"&amp;"Qp2FoAPSMKHOy273KNzAomaIKhtdlvuZ_zDNE/edit?usp=share_link"",""พัทลุง!J82"")+IMPORTRANGE(""https://docs.google.com/spreadsheets/d/1o7UZe4_OqlqtLDHrj01Z2YFRSZDf1DMy1n3XViHaxRc/edit?usp=share_link"",""ภูเก็ต!J82"")+IMPORTRANGE(""https://docs.google.com/sprea"&amp;"dsheets/d/1ctPm1vUzcUCPuOj9-eoHUD85PqINFqUB0TjdSWmR5-c/edit?usp=share_link"",""ยะลา!J82"")+IMPORTRANGE(""https://docs.google.com/spreadsheets/d/1YiDIE7Klmt8osgdapRqYWNr7iPGFSsiJqq46S7PYRE0/edit?usp=share_link"",""ระนอง!J82"")+IMPORTRANGE(""https://docs.go"&amp;"ogle.com/spreadsheets/d/16o_4B-V7AWw_6E93bSpXj_XxVv1oVQctk-B6z1dNEWU/edit?usp=share_link"",""สงขลา!J82"")+IMPORTRANGE(""https://docs.google.com/spreadsheets/d/16cywr71Fj4fA5OGRHsZh30ZG2gwJhMAQv69oVBzYHv0/edit?usp=share_link"",""สตูล!J82"")+IMPORTRANGE(""h"&amp;"ttps://docs.google.com/spreadsheets/d/1vO9Sws6kMtrVtyvrAJptINXjK8TFBoX9xLYOVK_C8bQ/edit?usp=share_link"",""สุราษฎร์ธานี!J82"")"),1)</f>
        <v>1</v>
      </c>
      <c r="K82" s="162">
        <f t="shared" ca="1" si="59"/>
        <v>100</v>
      </c>
      <c r="L82" s="162"/>
      <c r="M82" s="162"/>
      <c r="N82" s="162"/>
      <c r="O82" s="162"/>
      <c r="P82" s="162"/>
    </row>
    <row r="83" spans="1:26" ht="20.25" customHeight="1">
      <c r="A83" s="169"/>
      <c r="B83" s="170"/>
      <c r="C83" s="170"/>
      <c r="D83" s="170"/>
      <c r="E83" s="177"/>
      <c r="F83" s="177"/>
      <c r="G83" s="178"/>
      <c r="H83" s="181" t="s">
        <v>35</v>
      </c>
      <c r="I83" s="161">
        <f ca="1">IFERROR(__xludf.DUMMYFUNCTION("IMPORTRANGE(""https://docs.google.com/spreadsheets/d/1kC41EOXpGBFOW658Fs3oD8beYlym0-zO54WY-2Qnp9I/edit?usp=share_link"",""กระบี่!I83"")
+IMPORTRANGE(""https://docs.google.com/spreadsheets/d/1FbzMZY_f3MDiEuK7RpCQKrilJ_kpX0Wm7QBZ1L7EjIU/edit?usp=share_link"&amp;""",""ชุมพร!I83"")+IMPORTRANGE(""https://docs.google.com/spreadsheets/d/1v5sN-00LrXuhBxw4dkh2GrG_z4l5oAqOdJRBCsUyMaM/edit?usp=share_link"",""ตรัง!I83"")+IMPORTRANGE(""https://docs.google.com/spreadsheets/d/1T5rRTzFc79aSIvqnzkZNvwPstq829QYz_xALlO1Z0s8/edit?"&amp;"usp=share_link"",""นครศรีธรรมราช!I83"")+IMPORTRANGE(""https://docs.google.com/spreadsheets/d/1BeghqumK0IvCmRd2QOy6_afsZq7ZtAGrSnVJy2u7WmY/edit?usp=share_link"",""นราธิวาส!I83"")+IMPORTRANGE(""https://docs.google.com/spreadsheets/d/1IwnW3-jjRf74MCLW-6PiFwM"&amp;"UffRQXZwZA7YM609NmRc/edit?usp=share_link"",""ปัตตานี!I83"")+IMPORTRANGE(""https://docs.google.com/spreadsheets/d/1vl4QWbWdFruual5o_wdo6ZSqXZ_it806oja4CctTLKs/edit?usp=share_link"",""พังงา!I83"")+IMPORTRANGE(""https://docs.google.com/spreadsheets/d/1b6QssH"&amp;"Qp2FoAPSMKHOy273KNzAomaIKhtdlvuZ_zDNE/edit?usp=share_link"",""พัทลุง!I83"")+IMPORTRANGE(""https://docs.google.com/spreadsheets/d/1o7UZe4_OqlqtLDHrj01Z2YFRSZDf1DMy1n3XViHaxRc/edit?usp=share_link"",""ภูเก็ต!I83"")+IMPORTRANGE(""https://docs.google.com/sprea"&amp;"dsheets/d/1ctPm1vUzcUCPuOj9-eoHUD85PqINFqUB0TjdSWmR5-c/edit?usp=share_link"",""ยะลา!I83"")+IMPORTRANGE(""https://docs.google.com/spreadsheets/d/1YiDIE7Klmt8osgdapRqYWNr7iPGFSsiJqq46S7PYRE0/edit?usp=share_link"",""ระนอง!I83"")+IMPORTRANGE(""https://docs.go"&amp;"ogle.com/spreadsheets/d/16o_4B-V7AWw_6E93bSpXj_XxVv1oVQctk-B6z1dNEWU/edit?usp=share_link"",""สงขลา!I83"")+IMPORTRANGE(""https://docs.google.com/spreadsheets/d/16cywr71Fj4fA5OGRHsZh30ZG2gwJhMAQv69oVBzYHv0/edit?usp=share_link"",""สตูล!I83"")+IMPORTRANGE(""h"&amp;"ttps://docs.google.com/spreadsheets/d/1vO9Sws6kMtrVtyvrAJptINXjK8TFBoX9xLYOVK_C8bQ/edit?usp=share_link"",""สุราษฎร์ธานี!I83"")"),30)</f>
        <v>30</v>
      </c>
      <c r="J83" s="182">
        <f ca="1">IFERROR(__xludf.DUMMYFUNCTION("IMPORTRANGE(""https://docs.google.com/spreadsheets/d/1kC41EOXpGBFOW658Fs3oD8beYlym0-zO54WY-2Qnp9I/edit?usp=share_link"",""กระบี่!J83"")
+IMPORTRANGE(""https://docs.google.com/spreadsheets/d/1FbzMZY_f3MDiEuK7RpCQKrilJ_kpX0Wm7QBZ1L7EjIU/edit?usp=share_link"&amp;""",""ชุมพร!J83"")+IMPORTRANGE(""https://docs.google.com/spreadsheets/d/1v5sN-00LrXuhBxw4dkh2GrG_z4l5oAqOdJRBCsUyMaM/edit?usp=share_link"",""ตรัง!J83"")+IMPORTRANGE(""https://docs.google.com/spreadsheets/d/1T5rRTzFc79aSIvqnzkZNvwPstq829QYz_xALlO1Z0s8/edit?"&amp;"usp=share_link"",""นครศรีธรรมราช!J83"")+IMPORTRANGE(""https://docs.google.com/spreadsheets/d/1BeghqumK0IvCmRd2QOy6_afsZq7ZtAGrSnVJy2u7WmY/edit?usp=share_link"",""นราธิวาส!J83"")+IMPORTRANGE(""https://docs.google.com/spreadsheets/d/1IwnW3-jjRf74MCLW-6PiFwM"&amp;"UffRQXZwZA7YM609NmRc/edit?usp=share_link"",""ปัตตานี!J83"")+IMPORTRANGE(""https://docs.google.com/spreadsheets/d/1vl4QWbWdFruual5o_wdo6ZSqXZ_it806oja4CctTLKs/edit?usp=share_link"",""พังงา!J83"")+IMPORTRANGE(""https://docs.google.com/spreadsheets/d/1b6QssH"&amp;"Qp2FoAPSMKHOy273KNzAomaIKhtdlvuZ_zDNE/edit?usp=share_link"",""พัทลุง!J83"")+IMPORTRANGE(""https://docs.google.com/spreadsheets/d/1o7UZe4_OqlqtLDHrj01Z2YFRSZDf1DMy1n3XViHaxRc/edit?usp=share_link"",""ภูเก็ต!J83"")+IMPORTRANGE(""https://docs.google.com/sprea"&amp;"dsheets/d/1ctPm1vUzcUCPuOj9-eoHUD85PqINFqUB0TjdSWmR5-c/edit?usp=share_link"",""ยะลา!J83"")+IMPORTRANGE(""https://docs.google.com/spreadsheets/d/1YiDIE7Klmt8osgdapRqYWNr7iPGFSsiJqq46S7PYRE0/edit?usp=share_link"",""ระนอง!J83"")+IMPORTRANGE(""https://docs.go"&amp;"ogle.com/spreadsheets/d/16o_4B-V7AWw_6E93bSpXj_XxVv1oVQctk-B6z1dNEWU/edit?usp=share_link"",""สงขลา!J83"")+IMPORTRANGE(""https://docs.google.com/spreadsheets/d/16cywr71Fj4fA5OGRHsZh30ZG2gwJhMAQv69oVBzYHv0/edit?usp=share_link"",""สตูล!J83"")+IMPORTRANGE(""h"&amp;"ttps://docs.google.com/spreadsheets/d/1vO9Sws6kMtrVtyvrAJptINXjK8TFBoX9xLYOVK_C8bQ/edit?usp=share_link"",""สุราษฎร์ธานี!J83"")"),30)</f>
        <v>30</v>
      </c>
      <c r="K83" s="162">
        <f t="shared" ca="1" si="59"/>
        <v>100</v>
      </c>
      <c r="L83" s="162"/>
      <c r="M83" s="162"/>
      <c r="N83" s="162"/>
      <c r="O83" s="162"/>
      <c r="P83" s="162"/>
    </row>
    <row r="84" spans="1:26" ht="20.25" customHeight="1">
      <c r="A84" s="169"/>
      <c r="B84" s="170"/>
      <c r="C84" s="170"/>
      <c r="D84" s="175" t="s">
        <v>43</v>
      </c>
      <c r="E84" s="176"/>
      <c r="F84" s="177"/>
      <c r="G84" s="178"/>
      <c r="H84" s="184" t="s">
        <v>34</v>
      </c>
      <c r="I84" s="161">
        <f ca="1">IFERROR(__xludf.DUMMYFUNCTION("IMPORTRANGE(""https://docs.google.com/spreadsheets/d/1kC41EOXpGBFOW658Fs3oD8beYlym0-zO54WY-2Qnp9I/edit?usp=share_link"",""กระบี่!I84"")
+IMPORTRANGE(""https://docs.google.com/spreadsheets/d/1FbzMZY_f3MDiEuK7RpCQKrilJ_kpX0Wm7QBZ1L7EjIU/edit?usp=share_link"&amp;""",""ชุมพร!I84"")+IMPORTRANGE(""https://docs.google.com/spreadsheets/d/1v5sN-00LrXuhBxw4dkh2GrG_z4l5oAqOdJRBCsUyMaM/edit?usp=share_link"",""ตรัง!I84"")+IMPORTRANGE(""https://docs.google.com/spreadsheets/d/1T5rRTzFc79aSIvqnzkZNvwPstq829QYz_xALlO1Z0s8/edit?"&amp;"usp=share_link"",""นครศรีธรรมราช!I84"")+IMPORTRANGE(""https://docs.google.com/spreadsheets/d/1BeghqumK0IvCmRd2QOy6_afsZq7ZtAGrSnVJy2u7WmY/edit?usp=share_link"",""นราธิวาส!I84"")+IMPORTRANGE(""https://docs.google.com/spreadsheets/d/1IwnW3-jjRf74MCLW-6PiFwM"&amp;"UffRQXZwZA7YM609NmRc/edit?usp=share_link"",""ปัตตานี!I84"")+IMPORTRANGE(""https://docs.google.com/spreadsheets/d/1vl4QWbWdFruual5o_wdo6ZSqXZ_it806oja4CctTLKs/edit?usp=share_link"",""พังงา!I84"")+IMPORTRANGE(""https://docs.google.com/spreadsheets/d/1b6QssH"&amp;"Qp2FoAPSMKHOy273KNzAomaIKhtdlvuZ_zDNE/edit?usp=share_link"",""พัทลุง!I84"")+IMPORTRANGE(""https://docs.google.com/spreadsheets/d/1o7UZe4_OqlqtLDHrj01Z2YFRSZDf1DMy1n3XViHaxRc/edit?usp=share_link"",""ภูเก็ต!I84"")+IMPORTRANGE(""https://docs.google.com/sprea"&amp;"dsheets/d/1ctPm1vUzcUCPuOj9-eoHUD85PqINFqUB0TjdSWmR5-c/edit?usp=share_link"",""ยะลา!I84"")+IMPORTRANGE(""https://docs.google.com/spreadsheets/d/1YiDIE7Klmt8osgdapRqYWNr7iPGFSsiJqq46S7PYRE0/edit?usp=share_link"",""ระนอง!I84"")+IMPORTRANGE(""https://docs.go"&amp;"ogle.com/spreadsheets/d/16o_4B-V7AWw_6E93bSpXj_XxVv1oVQctk-B6z1dNEWU/edit?usp=share_link"",""สงขลา!I84"")+IMPORTRANGE(""https://docs.google.com/spreadsheets/d/16cywr71Fj4fA5OGRHsZh30ZG2gwJhMAQv69oVBzYHv0/edit?usp=share_link"",""สตูล!I84"")+IMPORTRANGE(""h"&amp;"ttps://docs.google.com/spreadsheets/d/1vO9Sws6kMtrVtyvrAJptINXjK8TFBoX9xLYOVK_C8bQ/edit?usp=share_link"",""สุราษฎร์ธานี!I84"")"),4)</f>
        <v>4</v>
      </c>
      <c r="J84" s="182">
        <f ca="1">IFERROR(__xludf.DUMMYFUNCTION("IMPORTRANGE(""https://docs.google.com/spreadsheets/d/1kC41EOXpGBFOW658Fs3oD8beYlym0-zO54WY-2Qnp9I/edit?usp=share_link"",""กระบี่!J84"")
+IMPORTRANGE(""https://docs.google.com/spreadsheets/d/1FbzMZY_f3MDiEuK7RpCQKrilJ_kpX0Wm7QBZ1L7EjIU/edit?usp=share_link"&amp;""",""ชุมพร!J84"")+IMPORTRANGE(""https://docs.google.com/spreadsheets/d/1v5sN-00LrXuhBxw4dkh2GrG_z4l5oAqOdJRBCsUyMaM/edit?usp=share_link"",""ตรัง!J84"")+IMPORTRANGE(""https://docs.google.com/spreadsheets/d/1T5rRTzFc79aSIvqnzkZNvwPstq829QYz_xALlO1Z0s8/edit?"&amp;"usp=share_link"",""นครศรีธรรมราช!J84"")+IMPORTRANGE(""https://docs.google.com/spreadsheets/d/1BeghqumK0IvCmRd2QOy6_afsZq7ZtAGrSnVJy2u7WmY/edit?usp=share_link"",""นราธิวาส!J84"")+IMPORTRANGE(""https://docs.google.com/spreadsheets/d/1IwnW3-jjRf74MCLW-6PiFwM"&amp;"UffRQXZwZA7YM609NmRc/edit?usp=share_link"",""ปัตตานี!J84"")+IMPORTRANGE(""https://docs.google.com/spreadsheets/d/1vl4QWbWdFruual5o_wdo6ZSqXZ_it806oja4CctTLKs/edit?usp=share_link"",""พังงา!J84"")+IMPORTRANGE(""https://docs.google.com/spreadsheets/d/1b6QssH"&amp;"Qp2FoAPSMKHOy273KNzAomaIKhtdlvuZ_zDNE/edit?usp=share_link"",""พัทลุง!J84"")+IMPORTRANGE(""https://docs.google.com/spreadsheets/d/1o7UZe4_OqlqtLDHrj01Z2YFRSZDf1DMy1n3XViHaxRc/edit?usp=share_link"",""ภูเก็ต!J84"")+IMPORTRANGE(""https://docs.google.com/sprea"&amp;"dsheets/d/1ctPm1vUzcUCPuOj9-eoHUD85PqINFqUB0TjdSWmR5-c/edit?usp=share_link"",""ยะลา!J84"")+IMPORTRANGE(""https://docs.google.com/spreadsheets/d/1YiDIE7Klmt8osgdapRqYWNr7iPGFSsiJqq46S7PYRE0/edit?usp=share_link"",""ระนอง!J84"")+IMPORTRANGE(""https://docs.go"&amp;"ogle.com/spreadsheets/d/16o_4B-V7AWw_6E93bSpXj_XxVv1oVQctk-B6z1dNEWU/edit?usp=share_link"",""สงขลา!J84"")+IMPORTRANGE(""https://docs.google.com/spreadsheets/d/16cywr71Fj4fA5OGRHsZh30ZG2gwJhMAQv69oVBzYHv0/edit?usp=share_link"",""สตูล!J84"")+IMPORTRANGE(""h"&amp;"ttps://docs.google.com/spreadsheets/d/1vO9Sws6kMtrVtyvrAJptINXjK8TFBoX9xLYOVK_C8bQ/edit?usp=share_link"",""สุราษฎร์ธานี!J84"")"),4)</f>
        <v>4</v>
      </c>
      <c r="K84" s="162">
        <f t="shared" ca="1" si="59"/>
        <v>100</v>
      </c>
      <c r="L84" s="162"/>
      <c r="M84" s="162"/>
      <c r="N84" s="162"/>
      <c r="O84" s="162"/>
      <c r="P84" s="162"/>
    </row>
    <row r="85" spans="1:26" ht="20.25" customHeight="1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20.25" customHeight="1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6" ca="1" si="61">I98</f>
        <v>285</v>
      </c>
      <c r="J86" s="143">
        <f t="shared" ca="1" si="61"/>
        <v>285</v>
      </c>
      <c r="K86" s="144">
        <f t="shared" ref="K86:K87" ca="1" si="62">IF(I86&gt;0,J86*100/I86,0)</f>
        <v>100</v>
      </c>
      <c r="L86" s="145"/>
      <c r="M86" s="145"/>
      <c r="N86" s="145"/>
      <c r="O86" s="145"/>
      <c r="P86" s="145"/>
    </row>
    <row r="87" spans="1:26" ht="20.25" customHeight="1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ref="I87:J87" ca="1" si="63">I99</f>
        <v>95</v>
      </c>
      <c r="J87" s="143">
        <f t="shared" ca="1" si="63"/>
        <v>96</v>
      </c>
      <c r="K87" s="144">
        <f t="shared" ca="1" si="62"/>
        <v>101.05263157894737</v>
      </c>
      <c r="L87" s="145"/>
      <c r="M87" s="145"/>
      <c r="N87" s="145"/>
      <c r="O87" s="145"/>
      <c r="P87" s="145"/>
    </row>
    <row r="88" spans="1:26" ht="20.25" customHeight="1">
      <c r="A88" s="146"/>
      <c r="B88" s="147"/>
      <c r="C88" s="148" t="s">
        <v>16</v>
      </c>
      <c r="D88" s="149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64">L89+L90</f>
        <v>2722980</v>
      </c>
      <c r="M88" s="154">
        <f t="shared" ca="1" si="64"/>
        <v>2722980</v>
      </c>
      <c r="N88" s="154">
        <f t="shared" ca="1" si="64"/>
        <v>2722979.98</v>
      </c>
      <c r="O88" s="154">
        <f t="shared" ref="O88:O96" ca="1" si="65">IF(L88&gt;0,N88*100/L88,0)</f>
        <v>99.999999265510581</v>
      </c>
      <c r="P88" s="154">
        <f t="shared" ref="P88:P96" ca="1" si="66">IF(M88&gt;0,N88*100/M88,0)</f>
        <v>99.999999265510581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20.25" hidden="1" customHeight="1">
      <c r="A89" s="155"/>
      <c r="B89" s="39"/>
      <c r="C89" s="39"/>
      <c r="D89" s="39"/>
      <c r="E89" s="40" t="s">
        <v>18</v>
      </c>
      <c r="F89" s="39"/>
      <c r="G89" s="156"/>
      <c r="H89" s="157" t="s">
        <v>12</v>
      </c>
      <c r="I89" s="43"/>
      <c r="J89" s="43"/>
      <c r="K89" s="44"/>
      <c r="L89" s="44">
        <f t="shared" ref="L89:N89" si="67">L92+L95</f>
        <v>0</v>
      </c>
      <c r="M89" s="44">
        <f t="shared" si="67"/>
        <v>0</v>
      </c>
      <c r="N89" s="44">
        <f t="shared" si="67"/>
        <v>0</v>
      </c>
      <c r="O89" s="44">
        <f t="shared" si="65"/>
        <v>0</v>
      </c>
      <c r="P89" s="44">
        <f t="shared" si="6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20.25" hidden="1" customHeight="1">
      <c r="A90" s="155"/>
      <c r="B90" s="39"/>
      <c r="C90" s="39"/>
      <c r="D90" s="39"/>
      <c r="E90" s="40" t="s">
        <v>19</v>
      </c>
      <c r="F90" s="39"/>
      <c r="G90" s="156"/>
      <c r="H90" s="157" t="s">
        <v>12</v>
      </c>
      <c r="I90" s="43"/>
      <c r="J90" s="43"/>
      <c r="K90" s="44"/>
      <c r="L90" s="44">
        <f t="shared" ref="L90:N90" ca="1" si="68">L93+L96</f>
        <v>2722980</v>
      </c>
      <c r="M90" s="44">
        <f t="shared" ca="1" si="68"/>
        <v>2722980</v>
      </c>
      <c r="N90" s="44">
        <f t="shared" ca="1" si="68"/>
        <v>2722979.98</v>
      </c>
      <c r="O90" s="44">
        <f t="shared" ca="1" si="65"/>
        <v>99.999999265510581</v>
      </c>
      <c r="P90" s="44">
        <f t="shared" ca="1" si="66"/>
        <v>99.999999265510581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20.25" customHeight="1">
      <c r="A91" s="158"/>
      <c r="B91" s="32"/>
      <c r="C91" s="159"/>
      <c r="D91" s="33" t="s">
        <v>20</v>
      </c>
      <c r="E91" s="32"/>
      <c r="F91" s="32"/>
      <c r="G91" s="34"/>
      <c r="H91" s="160" t="s">
        <v>12</v>
      </c>
      <c r="I91" s="161"/>
      <c r="J91" s="161"/>
      <c r="K91" s="162"/>
      <c r="L91" s="37">
        <f t="shared" ref="L91:N91" ca="1" si="69">L92+L93</f>
        <v>2722980</v>
      </c>
      <c r="M91" s="37">
        <f t="shared" ca="1" si="69"/>
        <v>2722980</v>
      </c>
      <c r="N91" s="37">
        <f t="shared" ca="1" si="69"/>
        <v>2722979.98</v>
      </c>
      <c r="O91" s="37">
        <f t="shared" ca="1" si="65"/>
        <v>99.999999265510581</v>
      </c>
      <c r="P91" s="37">
        <f t="shared" ca="1" si="66"/>
        <v>99.999999265510581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20.25" hidden="1" customHeight="1">
      <c r="A92" s="155"/>
      <c r="B92" s="39"/>
      <c r="C92" s="163"/>
      <c r="D92" s="39"/>
      <c r="E92" s="40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44">
        <f t="shared" si="65"/>
        <v>0</v>
      </c>
      <c r="P92" s="44">
        <f t="shared" si="6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20.25" hidden="1" customHeight="1">
      <c r="A93" s="155"/>
      <c r="B93" s="39"/>
      <c r="C93" s="163"/>
      <c r="D93" s="39"/>
      <c r="E93" s="40" t="s">
        <v>37</v>
      </c>
      <c r="F93" s="39"/>
      <c r="G93" s="156"/>
      <c r="H93" s="164" t="s">
        <v>12</v>
      </c>
      <c r="I93" s="165"/>
      <c r="J93" s="165"/>
      <c r="K93" s="166"/>
      <c r="L93" s="44">
        <f ca="1">IFERROR(__xludf.DUMMYFUNCTION("IMPORTRANGE(""https://docs.google.com/spreadsheets/d/1kC41EOXpGBFOW658Fs3oD8beYlym0-zO54WY-2Qnp9I/edit?usp=share_link"",""กระบี่!L93"")
+IMPORTRANGE(""https://docs.google.com/spreadsheets/d/1FbzMZY_f3MDiEuK7RpCQKrilJ_kpX0Wm7QBZ1L7EjIU/edit?usp=share_link"&amp;""",""ชุมพร!L93"")+IMPORTRANGE(""https://docs.google.com/spreadsheets/d/1v5sN-00LrXuhBxw4dkh2GrG_z4l5oAqOdJRBCsUyMaM/edit?usp=share_link"",""ตรัง!L93"")+IMPORTRANGE(""https://docs.google.com/spreadsheets/d/1T5rRTzFc79aSIvqnzkZNvwPstq829QYz_xALlO1Z0s8/edit?"&amp;"usp=share_link"",""นครศรีธรรมราช!L93"")+IMPORTRANGE(""https://docs.google.com/spreadsheets/d/1BeghqumK0IvCmRd2QOy6_afsZq7ZtAGrSnVJy2u7WmY/edit?usp=share_link"",""นราธิวาส!L93"")+IMPORTRANGE(""https://docs.google.com/spreadsheets/d/1IwnW3-jjRf74MCLW-6PiFwM"&amp;"UffRQXZwZA7YM609NmRc/edit?usp=share_link"",""ปัตตานี!L93"")+IMPORTRANGE(""https://docs.google.com/spreadsheets/d/1vl4QWbWdFruual5o_wdo6ZSqXZ_it806oja4CctTLKs/edit?usp=share_link"",""พังงา!L93"")+IMPORTRANGE(""https://docs.google.com/spreadsheets/d/1b6QssH"&amp;"Qp2FoAPSMKHOy273KNzAomaIKhtdlvuZ_zDNE/edit?usp=share_link"",""พัทลุง!L93"")+IMPORTRANGE(""https://docs.google.com/spreadsheets/d/1o7UZe4_OqlqtLDHrj01Z2YFRSZDf1DMy1n3XViHaxRc/edit?usp=share_link"",""ภูเก็ต!L93"")+IMPORTRANGE(""https://docs.google.com/sprea"&amp;"dsheets/d/1ctPm1vUzcUCPuOj9-eoHUD85PqINFqUB0TjdSWmR5-c/edit?usp=share_link"",""ยะลา!L93"")+IMPORTRANGE(""https://docs.google.com/spreadsheets/d/1YiDIE7Klmt8osgdapRqYWNr7iPGFSsiJqq46S7PYRE0/edit?usp=share_link"",""ระนอง!L93"")+IMPORTRANGE(""https://docs.go"&amp;"ogle.com/spreadsheets/d/16o_4B-V7AWw_6E93bSpXj_XxVv1oVQctk-B6z1dNEWU/edit?usp=share_link"",""สงขลา!L93"")+IMPORTRANGE(""https://docs.google.com/spreadsheets/d/16cywr71Fj4fA5OGRHsZh30ZG2gwJhMAQv69oVBzYHv0/edit?usp=share_link"",""สตูล!L93"")+IMPORTRANGE(""h"&amp;"ttps://docs.google.com/spreadsheets/d/1vO9Sws6kMtrVtyvrAJptINXjK8TFBoX9xLYOVK_C8bQ/edit?usp=share_link"",""สุราษฎร์ธานี!L93"")"),2722980)</f>
        <v>2722980</v>
      </c>
      <c r="M93" s="44">
        <f ca="1">IFERROR(__xludf.DUMMYFUNCTION("IMPORTRANGE(""https://docs.google.com/spreadsheets/d/1kC41EOXpGBFOW658Fs3oD8beYlym0-zO54WY-2Qnp9I/edit?usp=share_link"",""กระบี่!M93"")
+IMPORTRANGE(""https://docs.google.com/spreadsheets/d/1FbzMZY_f3MDiEuK7RpCQKrilJ_kpX0Wm7QBZ1L7EjIU/edit?usp=share_link"&amp;""",""ชุมพร!M93"")+IMPORTRANGE(""https://docs.google.com/spreadsheets/d/1v5sN-00LrXuhBxw4dkh2GrG_z4l5oAqOdJRBCsUyMaM/edit?usp=share_link"",""ตรัง!M93"")+IMPORTRANGE(""https://docs.google.com/spreadsheets/d/1T5rRTzFc79aSIvqnzkZNvwPstq829QYz_xALlO1Z0s8/edit?"&amp;"usp=share_link"",""นครศรีธรรมราช!M93"")+IMPORTRANGE(""https://docs.google.com/spreadsheets/d/1BeghqumK0IvCmRd2QOy6_afsZq7ZtAGrSnVJy2u7WmY/edit?usp=share_link"",""นราธิวาส!M93"")+IMPORTRANGE(""https://docs.google.com/spreadsheets/d/1IwnW3-jjRf74MCLW-6PiFwM"&amp;"UffRQXZwZA7YM609NmRc/edit?usp=share_link"",""ปัตตานี!M93"")+IMPORTRANGE(""https://docs.google.com/spreadsheets/d/1vl4QWbWdFruual5o_wdo6ZSqXZ_it806oja4CctTLKs/edit?usp=share_link"",""พังงา!M93"")+IMPORTRANGE(""https://docs.google.com/spreadsheets/d/1b6QssH"&amp;"Qp2FoAPSMKHOy273KNzAomaIKhtdlvuZ_zDNE/edit?usp=share_link"",""พัทลุง!M93"")+IMPORTRANGE(""https://docs.google.com/spreadsheets/d/1o7UZe4_OqlqtLDHrj01Z2YFRSZDf1DMy1n3XViHaxRc/edit?usp=share_link"",""ภูเก็ต!M93"")+IMPORTRANGE(""https://docs.google.com/sprea"&amp;"dsheets/d/1ctPm1vUzcUCPuOj9-eoHUD85PqINFqUB0TjdSWmR5-c/edit?usp=share_link"",""ยะลา!M93"")+IMPORTRANGE(""https://docs.google.com/spreadsheets/d/1YiDIE7Klmt8osgdapRqYWNr7iPGFSsiJqq46S7PYRE0/edit?usp=share_link"",""ระนอง!M93"")+IMPORTRANGE(""https://docs.go"&amp;"ogle.com/spreadsheets/d/16o_4B-V7AWw_6E93bSpXj_XxVv1oVQctk-B6z1dNEWU/edit?usp=share_link"",""สงขลา!M93"")+IMPORTRANGE(""https://docs.google.com/spreadsheets/d/16cywr71Fj4fA5OGRHsZh30ZG2gwJhMAQv69oVBzYHv0/edit?usp=share_link"",""สตูล!M93"")+IMPORTRANGE(""h"&amp;"ttps://docs.google.com/spreadsheets/d/1vO9Sws6kMtrVtyvrAJptINXjK8TFBoX9xLYOVK_C8bQ/edit?usp=share_link"",""สุราษฎร์ธานี!M93"")"),2722980)</f>
        <v>2722980</v>
      </c>
      <c r="N93" s="44">
        <f ca="1">IFERROR(__xludf.DUMMYFUNCTION("IMPORTRANGE(""https://docs.google.com/spreadsheets/d/1kC41EOXpGBFOW658Fs3oD8beYlym0-zO54WY-2Qnp9I/edit?usp=share_link"",""กระบี่!N93"")
+IMPORTRANGE(""https://docs.google.com/spreadsheets/d/1FbzMZY_f3MDiEuK7RpCQKrilJ_kpX0Wm7QBZ1L7EjIU/edit?usp=share_link"&amp;""",""ชุมพร!N93"")+IMPORTRANGE(""https://docs.google.com/spreadsheets/d/1v5sN-00LrXuhBxw4dkh2GrG_z4l5oAqOdJRBCsUyMaM/edit?usp=share_link"",""ตรัง!N93"")+IMPORTRANGE(""https://docs.google.com/spreadsheets/d/1T5rRTzFc79aSIvqnzkZNvwPstq829QYz_xALlO1Z0s8/edit?"&amp;"usp=share_link"",""นครศรีธรรมราช!N93"")+IMPORTRANGE(""https://docs.google.com/spreadsheets/d/1BeghqumK0IvCmRd2QOy6_afsZq7ZtAGrSnVJy2u7WmY/edit?usp=share_link"",""นราธิวาส!N93"")+IMPORTRANGE(""https://docs.google.com/spreadsheets/d/1IwnW3-jjRf74MCLW-6PiFwM"&amp;"UffRQXZwZA7YM609NmRc/edit?usp=share_link"",""ปัตตานี!N93"")+IMPORTRANGE(""https://docs.google.com/spreadsheets/d/1vl4QWbWdFruual5o_wdo6ZSqXZ_it806oja4CctTLKs/edit?usp=share_link"",""พังงา!N93"")+IMPORTRANGE(""https://docs.google.com/spreadsheets/d/1b6QssH"&amp;"Qp2FoAPSMKHOy273KNzAomaIKhtdlvuZ_zDNE/edit?usp=share_link"",""พัทลุง!N93"")+IMPORTRANGE(""https://docs.google.com/spreadsheets/d/1o7UZe4_OqlqtLDHrj01Z2YFRSZDf1DMy1n3XViHaxRc/edit?usp=share_link"",""ภูเก็ต!N93"")+IMPORTRANGE(""https://docs.google.com/sprea"&amp;"dsheets/d/1ctPm1vUzcUCPuOj9-eoHUD85PqINFqUB0TjdSWmR5-c/edit?usp=share_link"",""ยะลา!N93"")+IMPORTRANGE(""https://docs.google.com/spreadsheets/d/1YiDIE7Klmt8osgdapRqYWNr7iPGFSsiJqq46S7PYRE0/edit?usp=share_link"",""ระนอง!N93"")+IMPORTRANGE(""https://docs.go"&amp;"ogle.com/spreadsheets/d/16o_4B-V7AWw_6E93bSpXj_XxVv1oVQctk-B6z1dNEWU/edit?usp=share_link"",""สงขลา!N93"")+IMPORTRANGE(""https://docs.google.com/spreadsheets/d/16cywr71Fj4fA5OGRHsZh30ZG2gwJhMAQv69oVBzYHv0/edit?usp=share_link"",""สตูล!N93"")+IMPORTRANGE(""h"&amp;"ttps://docs.google.com/spreadsheets/d/1vO9Sws6kMtrVtyvrAJptINXjK8TFBoX9xLYOVK_C8bQ/edit?usp=share_link"",""สุราษฎร์ธานี!N93"")"),2722979.98)</f>
        <v>2722979.98</v>
      </c>
      <c r="O93" s="44">
        <f t="shared" ca="1" si="65"/>
        <v>99.999999265510581</v>
      </c>
      <c r="P93" s="44">
        <f t="shared" ca="1" si="66"/>
        <v>99.999999265510581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20.25" customHeight="1">
      <c r="A94" s="158"/>
      <c r="B94" s="32"/>
      <c r="C94" s="159"/>
      <c r="D94" s="33" t="s">
        <v>21</v>
      </c>
      <c r="E94" s="32"/>
      <c r="F94" s="32"/>
      <c r="G94" s="34"/>
      <c r="H94" s="167" t="s">
        <v>12</v>
      </c>
      <c r="I94" s="161"/>
      <c r="J94" s="161"/>
      <c r="K94" s="162"/>
      <c r="L94" s="37">
        <f t="shared" ref="L94:N94" ca="1" si="70">L95+L96</f>
        <v>0</v>
      </c>
      <c r="M94" s="37">
        <f t="shared" ca="1" si="70"/>
        <v>0</v>
      </c>
      <c r="N94" s="37">
        <f t="shared" ca="1" si="70"/>
        <v>0</v>
      </c>
      <c r="O94" s="37">
        <f t="shared" ca="1" si="65"/>
        <v>0</v>
      </c>
      <c r="P94" s="37">
        <f t="shared" ca="1" si="6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20.25" hidden="1" customHeight="1">
      <c r="A95" s="155"/>
      <c r="B95" s="39"/>
      <c r="C95" s="163"/>
      <c r="D95" s="39"/>
      <c r="E95" s="40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44">
        <f t="shared" si="65"/>
        <v>0</v>
      </c>
      <c r="P95" s="44">
        <f t="shared" si="6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20.25" hidden="1" customHeight="1">
      <c r="A96" s="155"/>
      <c r="B96" s="39"/>
      <c r="C96" s="163"/>
      <c r="D96" s="39"/>
      <c r="E96" s="40" t="s">
        <v>19</v>
      </c>
      <c r="F96" s="39"/>
      <c r="G96" s="156"/>
      <c r="H96" s="168" t="s">
        <v>12</v>
      </c>
      <c r="I96" s="165"/>
      <c r="J96" s="165"/>
      <c r="K96" s="166"/>
      <c r="L96" s="44">
        <f ca="1">IFERROR(__xludf.DUMMYFUNCTION("IMPORTRANGE(""https://docs.google.com/spreadsheets/d/1kC41EOXpGBFOW658Fs3oD8beYlym0-zO54WY-2Qnp9I/edit?usp=share_link"",""กระบี่!L96"")
+IMPORTRANGE(""https://docs.google.com/spreadsheets/d/1FbzMZY_f3MDiEuK7RpCQKrilJ_kpX0Wm7QBZ1L7EjIU/edit?usp=share_link"&amp;""",""ชุมพร!L96"")+IMPORTRANGE(""https://docs.google.com/spreadsheets/d/1v5sN-00LrXuhBxw4dkh2GrG_z4l5oAqOdJRBCsUyMaM/edit?usp=share_link"",""ตรัง!L96"")+IMPORTRANGE(""https://docs.google.com/spreadsheets/d/1T5rRTzFc79aSIvqnzkZNvwPstq829QYz_xALlO1Z0s8/edit?"&amp;"usp=share_link"",""นครศรีธรรมราช!L96"")+IMPORTRANGE(""https://docs.google.com/spreadsheets/d/1BeghqumK0IvCmRd2QOy6_afsZq7ZtAGrSnVJy2u7WmY/edit?usp=share_link"",""นราธิวาส!L96"")+IMPORTRANGE(""https://docs.google.com/spreadsheets/d/1IwnW3-jjRf74MCLW-6PiFwM"&amp;"UffRQXZwZA7YM609NmRc/edit?usp=share_link"",""ปัตตานี!L96"")+IMPORTRANGE(""https://docs.google.com/spreadsheets/d/1vl4QWbWdFruual5o_wdo6ZSqXZ_it806oja4CctTLKs/edit?usp=share_link"",""พังงา!L96"")+IMPORTRANGE(""https://docs.google.com/spreadsheets/d/1b6QssH"&amp;"Qp2FoAPSMKHOy273KNzAomaIKhtdlvuZ_zDNE/edit?usp=share_link"",""พัทลุง!L96"")+IMPORTRANGE(""https://docs.google.com/spreadsheets/d/1o7UZe4_OqlqtLDHrj01Z2YFRSZDf1DMy1n3XViHaxRc/edit?usp=share_link"",""ภูเก็ต!L96"")+IMPORTRANGE(""https://docs.google.com/sprea"&amp;"dsheets/d/1ctPm1vUzcUCPuOj9-eoHUD85PqINFqUB0TjdSWmR5-c/edit?usp=share_link"",""ยะลา!L96"")+IMPORTRANGE(""https://docs.google.com/spreadsheets/d/1YiDIE7Klmt8osgdapRqYWNr7iPGFSsiJqq46S7PYRE0/edit?usp=share_link"",""ระนอง!L96"")+IMPORTRANGE(""https://docs.go"&amp;"ogle.com/spreadsheets/d/16o_4B-V7AWw_6E93bSpXj_XxVv1oVQctk-B6z1dNEWU/edit?usp=share_link"",""สงขลา!L96"")+IMPORTRANGE(""https://docs.google.com/spreadsheets/d/16cywr71Fj4fA5OGRHsZh30ZG2gwJhMAQv69oVBzYHv0/edit?usp=share_link"",""สตูล!L96"")+IMPORTRANGE(""h"&amp;"ttps://docs.google.com/spreadsheets/d/1vO9Sws6kMtrVtyvrAJptINXjK8TFBoX9xLYOVK_C8bQ/edit?usp=share_link"",""สุราษฎร์ธานี!L96"")"),0)</f>
        <v>0</v>
      </c>
      <c r="M96" s="44">
        <f ca="1">IFERROR(__xludf.DUMMYFUNCTION("IMPORTRANGE(""https://docs.google.com/spreadsheets/d/1kC41EOXpGBFOW658Fs3oD8beYlym0-zO54WY-2Qnp9I/edit?usp=share_link"",""กระบี่!M96"")
+IMPORTRANGE(""https://docs.google.com/spreadsheets/d/1FbzMZY_f3MDiEuK7RpCQKrilJ_kpX0Wm7QBZ1L7EjIU/edit?usp=share_link"&amp;""",""ชุมพร!M96"")+IMPORTRANGE(""https://docs.google.com/spreadsheets/d/1v5sN-00LrXuhBxw4dkh2GrG_z4l5oAqOdJRBCsUyMaM/edit?usp=share_link"",""ตรัง!M96"")+IMPORTRANGE(""https://docs.google.com/spreadsheets/d/1T5rRTzFc79aSIvqnzkZNvwPstq829QYz_xALlO1Z0s8/edit?"&amp;"usp=share_link"",""นครศรีธรรมราช!M96"")+IMPORTRANGE(""https://docs.google.com/spreadsheets/d/1BeghqumK0IvCmRd2QOy6_afsZq7ZtAGrSnVJy2u7WmY/edit?usp=share_link"",""นราธิวาส!M96"")+IMPORTRANGE(""https://docs.google.com/spreadsheets/d/1IwnW3-jjRf74MCLW-6PiFwM"&amp;"UffRQXZwZA7YM609NmRc/edit?usp=share_link"",""ปัตตานี!M96"")+IMPORTRANGE(""https://docs.google.com/spreadsheets/d/1vl4QWbWdFruual5o_wdo6ZSqXZ_it806oja4CctTLKs/edit?usp=share_link"",""พังงา!M96"")+IMPORTRANGE(""https://docs.google.com/spreadsheets/d/1b6QssH"&amp;"Qp2FoAPSMKHOy273KNzAomaIKhtdlvuZ_zDNE/edit?usp=share_link"",""พัทลุง!M96"")+IMPORTRANGE(""https://docs.google.com/spreadsheets/d/1o7UZe4_OqlqtLDHrj01Z2YFRSZDf1DMy1n3XViHaxRc/edit?usp=share_link"",""ภูเก็ต!M96"")+IMPORTRANGE(""https://docs.google.com/sprea"&amp;"dsheets/d/1ctPm1vUzcUCPuOj9-eoHUD85PqINFqUB0TjdSWmR5-c/edit?usp=share_link"",""ยะลา!M96"")+IMPORTRANGE(""https://docs.google.com/spreadsheets/d/1YiDIE7Klmt8osgdapRqYWNr7iPGFSsiJqq46S7PYRE0/edit?usp=share_link"",""ระนอง!M96"")+IMPORTRANGE(""https://docs.go"&amp;"ogle.com/spreadsheets/d/16o_4B-V7AWw_6E93bSpXj_XxVv1oVQctk-B6z1dNEWU/edit?usp=share_link"",""สงขลา!M96"")+IMPORTRANGE(""https://docs.google.com/spreadsheets/d/16cywr71Fj4fA5OGRHsZh30ZG2gwJhMAQv69oVBzYHv0/edit?usp=share_link"",""สตูล!M96"")+IMPORTRANGE(""h"&amp;"ttps://docs.google.com/spreadsheets/d/1vO9Sws6kMtrVtyvrAJptINXjK8TFBoX9xLYOVK_C8bQ/edit?usp=share_link"",""สุราษฎร์ธานี!M96"")"),0)</f>
        <v>0</v>
      </c>
      <c r="N96" s="44">
        <f ca="1">IFERROR(__xludf.DUMMYFUNCTION("IMPORTRANGE(""https://docs.google.com/spreadsheets/d/1kC41EOXpGBFOW658Fs3oD8beYlym0-zO54WY-2Qnp9I/edit?usp=share_link"",""กระบี่!N96"")
+IMPORTRANGE(""https://docs.google.com/spreadsheets/d/1FbzMZY_f3MDiEuK7RpCQKrilJ_kpX0Wm7QBZ1L7EjIU/edit?usp=share_link"&amp;""",""ชุมพร!N96"")+IMPORTRANGE(""https://docs.google.com/spreadsheets/d/1v5sN-00LrXuhBxw4dkh2GrG_z4l5oAqOdJRBCsUyMaM/edit?usp=share_link"",""ตรัง!N96"")+IMPORTRANGE(""https://docs.google.com/spreadsheets/d/1T5rRTzFc79aSIvqnzkZNvwPstq829QYz_xALlO1Z0s8/edit?"&amp;"usp=share_link"",""นครศรีธรรมราช!N96"")+IMPORTRANGE(""https://docs.google.com/spreadsheets/d/1BeghqumK0IvCmRd2QOy6_afsZq7ZtAGrSnVJy2u7WmY/edit?usp=share_link"",""นราธิวาส!N96"")+IMPORTRANGE(""https://docs.google.com/spreadsheets/d/1IwnW3-jjRf74MCLW-6PiFwM"&amp;"UffRQXZwZA7YM609NmRc/edit?usp=share_link"",""ปัตตานี!N96"")+IMPORTRANGE(""https://docs.google.com/spreadsheets/d/1vl4QWbWdFruual5o_wdo6ZSqXZ_it806oja4CctTLKs/edit?usp=share_link"",""พังงา!N96"")+IMPORTRANGE(""https://docs.google.com/spreadsheets/d/1b6QssH"&amp;"Qp2FoAPSMKHOy273KNzAomaIKhtdlvuZ_zDNE/edit?usp=share_link"",""พัทลุง!N96"")+IMPORTRANGE(""https://docs.google.com/spreadsheets/d/1o7UZe4_OqlqtLDHrj01Z2YFRSZDf1DMy1n3XViHaxRc/edit?usp=share_link"",""ภูเก็ต!N96"")+IMPORTRANGE(""https://docs.google.com/sprea"&amp;"dsheets/d/1ctPm1vUzcUCPuOj9-eoHUD85PqINFqUB0TjdSWmR5-c/edit?usp=share_link"",""ยะลา!N96"")+IMPORTRANGE(""https://docs.google.com/spreadsheets/d/1YiDIE7Klmt8osgdapRqYWNr7iPGFSsiJqq46S7PYRE0/edit?usp=share_link"",""ระนอง!N96"")+IMPORTRANGE(""https://docs.go"&amp;"ogle.com/spreadsheets/d/16o_4B-V7AWw_6E93bSpXj_XxVv1oVQctk-B6z1dNEWU/edit?usp=share_link"",""สงขลา!N96"")+IMPORTRANGE(""https://docs.google.com/spreadsheets/d/16cywr71Fj4fA5OGRHsZh30ZG2gwJhMAQv69oVBzYHv0/edit?usp=share_link"",""สตูล!N96"")+IMPORTRANGE(""h"&amp;"ttps://docs.google.com/spreadsheets/d/1vO9Sws6kMtrVtyvrAJptINXjK8TFBoX9xLYOVK_C8bQ/edit?usp=share_link"",""สุราษฎร์ธานี!N96"")"),0)</f>
        <v>0</v>
      </c>
      <c r="O96" s="44">
        <f t="shared" ca="1" si="65"/>
        <v>0</v>
      </c>
      <c r="P96" s="44">
        <f t="shared" ca="1" si="6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20.25" customHeight="1">
      <c r="A97" s="169"/>
      <c r="B97" s="170"/>
      <c r="C97" s="163" t="s">
        <v>16</v>
      </c>
      <c r="D97" s="171" t="s">
        <v>38</v>
      </c>
      <c r="E97" s="172"/>
      <c r="F97" s="172"/>
      <c r="G97" s="173"/>
      <c r="H97" s="174"/>
      <c r="I97" s="161"/>
      <c r="J97" s="36"/>
      <c r="K97" s="37"/>
      <c r="L97" s="37"/>
      <c r="M97" s="37"/>
      <c r="N97" s="37"/>
      <c r="O97" s="162"/>
      <c r="P97" s="162"/>
    </row>
    <row r="98" spans="1:16" ht="20.25" customHeight="1">
      <c r="A98" s="169"/>
      <c r="B98" s="170"/>
      <c r="C98" s="170"/>
      <c r="D98" s="180" t="s">
        <v>47</v>
      </c>
      <c r="E98" s="176"/>
      <c r="F98" s="177"/>
      <c r="G98" s="178"/>
      <c r="H98" s="35" t="s">
        <v>46</v>
      </c>
      <c r="I98" s="36">
        <f ca="1">IFERROR(__xludf.DUMMYFUNCTION("IMPORTRANGE(""https://docs.google.com/spreadsheets/d/1kC41EOXpGBFOW658Fs3oD8beYlym0-zO54WY-2Qnp9I/edit?usp=share_link"",""กระบี่!I98"")
+IMPORTRANGE(""https://docs.google.com/spreadsheets/d/1FbzMZY_f3MDiEuK7RpCQKrilJ_kpX0Wm7QBZ1L7EjIU/edit?usp=share_link"&amp;""",""ชุมพร!I98"")+IMPORTRANGE(""https://docs.google.com/spreadsheets/d/1v5sN-00LrXuhBxw4dkh2GrG_z4l5oAqOdJRBCsUyMaM/edit?usp=share_link"",""ตรัง!I98"")+IMPORTRANGE(""https://docs.google.com/spreadsheets/d/1T5rRTzFc79aSIvqnzkZNvwPstq829QYz_xALlO1Z0s8/edit?"&amp;"usp=share_link"",""นครศรีธรรมราช!I98"")+IMPORTRANGE(""https://docs.google.com/spreadsheets/d/1BeghqumK0IvCmRd2QOy6_afsZq7ZtAGrSnVJy2u7WmY/edit?usp=share_link"",""นราธิวาส!I98"")+IMPORTRANGE(""https://docs.google.com/spreadsheets/d/1IwnW3-jjRf74MCLW-6PiFwM"&amp;"UffRQXZwZA7YM609NmRc/edit?usp=share_link"",""ปัตตานี!I98"")+IMPORTRANGE(""https://docs.google.com/spreadsheets/d/1vl4QWbWdFruual5o_wdo6ZSqXZ_it806oja4CctTLKs/edit?usp=share_link"",""พังงา!I98"")+IMPORTRANGE(""https://docs.google.com/spreadsheets/d/1b6QssH"&amp;"Qp2FoAPSMKHOy273KNzAomaIKhtdlvuZ_zDNE/edit?usp=share_link"",""พัทลุง!I98"")+IMPORTRANGE(""https://docs.google.com/spreadsheets/d/1o7UZe4_OqlqtLDHrj01Z2YFRSZDf1DMy1n3XViHaxRc/edit?usp=share_link"",""ภูเก็ต!I98"")+IMPORTRANGE(""https://docs.google.com/sprea"&amp;"dsheets/d/1ctPm1vUzcUCPuOj9-eoHUD85PqINFqUB0TjdSWmR5-c/edit?usp=share_link"",""ยะลา!I98"")+IMPORTRANGE(""https://docs.google.com/spreadsheets/d/1YiDIE7Klmt8osgdapRqYWNr7iPGFSsiJqq46S7PYRE0/edit?usp=share_link"",""ระนอง!I98"")+IMPORTRANGE(""https://docs.go"&amp;"ogle.com/spreadsheets/d/16o_4B-V7AWw_6E93bSpXj_XxVv1oVQctk-B6z1dNEWU/edit?usp=share_link"",""สงขลา!I98"")+IMPORTRANGE(""https://docs.google.com/spreadsheets/d/16cywr71Fj4fA5OGRHsZh30ZG2gwJhMAQv69oVBzYHv0/edit?usp=share_link"",""สตูล!I98"")+IMPORTRANGE(""h"&amp;"ttps://docs.google.com/spreadsheets/d/1vO9Sws6kMtrVtyvrAJptINXjK8TFBoX9xLYOVK_C8bQ/edit?usp=share_link"",""สุราษฎร์ธานี!I98"")"),285)</f>
        <v>285</v>
      </c>
      <c r="J98" s="36">
        <f ca="1">J102</f>
        <v>285</v>
      </c>
      <c r="K98" s="37">
        <f t="shared" ref="K98:K100" ca="1" si="71">IF(I98&gt;0,J98*100/I98,0)</f>
        <v>100</v>
      </c>
      <c r="L98" s="37"/>
      <c r="M98" s="37"/>
      <c r="N98" s="37"/>
      <c r="O98" s="162"/>
      <c r="P98" s="162"/>
    </row>
    <row r="99" spans="1:16" ht="20.25" customHeight="1">
      <c r="A99" s="169"/>
      <c r="B99" s="170"/>
      <c r="C99" s="170"/>
      <c r="D99" s="180" t="s">
        <v>48</v>
      </c>
      <c r="E99" s="176"/>
      <c r="F99" s="177"/>
      <c r="G99" s="178"/>
      <c r="H99" s="35" t="s">
        <v>35</v>
      </c>
      <c r="I99" s="36">
        <f ca="1">IFERROR(__xludf.DUMMYFUNCTION("IMPORTRANGE(""https://docs.google.com/spreadsheets/d/1kC41EOXpGBFOW658Fs3oD8beYlym0-zO54WY-2Qnp9I/edit?usp=share_link"",""กระบี่!I99"")
+IMPORTRANGE(""https://docs.google.com/spreadsheets/d/1FbzMZY_f3MDiEuK7RpCQKrilJ_kpX0Wm7QBZ1L7EjIU/edit?usp=share_link"&amp;""",""ชุมพร!I99"")+IMPORTRANGE(""https://docs.google.com/spreadsheets/d/1v5sN-00LrXuhBxw4dkh2GrG_z4l5oAqOdJRBCsUyMaM/edit?usp=share_link"",""ตรัง!I99"")+IMPORTRANGE(""https://docs.google.com/spreadsheets/d/1T5rRTzFc79aSIvqnzkZNvwPstq829QYz_xALlO1Z0s8/edit?"&amp;"usp=share_link"",""นครศรีธรรมราช!I99"")+IMPORTRANGE(""https://docs.google.com/spreadsheets/d/1BeghqumK0IvCmRd2QOy6_afsZq7ZtAGrSnVJy2u7WmY/edit?usp=share_link"",""นราธิวาส!I99"")+IMPORTRANGE(""https://docs.google.com/spreadsheets/d/1IwnW3-jjRf74MCLW-6PiFwM"&amp;"UffRQXZwZA7YM609NmRc/edit?usp=share_link"",""ปัตตานี!I99"")+IMPORTRANGE(""https://docs.google.com/spreadsheets/d/1vl4QWbWdFruual5o_wdo6ZSqXZ_it806oja4CctTLKs/edit?usp=share_link"",""พังงา!I99"")+IMPORTRANGE(""https://docs.google.com/spreadsheets/d/1b6QssH"&amp;"Qp2FoAPSMKHOy273KNzAomaIKhtdlvuZ_zDNE/edit?usp=share_link"",""พัทลุง!I99"")+IMPORTRANGE(""https://docs.google.com/spreadsheets/d/1o7UZe4_OqlqtLDHrj01Z2YFRSZDf1DMy1n3XViHaxRc/edit?usp=share_link"",""ภูเก็ต!I99"")+IMPORTRANGE(""https://docs.google.com/sprea"&amp;"dsheets/d/1ctPm1vUzcUCPuOj9-eoHUD85PqINFqUB0TjdSWmR5-c/edit?usp=share_link"",""ยะลา!I99"")+IMPORTRANGE(""https://docs.google.com/spreadsheets/d/1YiDIE7Klmt8osgdapRqYWNr7iPGFSsiJqq46S7PYRE0/edit?usp=share_link"",""ระนอง!I99"")+IMPORTRANGE(""https://docs.go"&amp;"ogle.com/spreadsheets/d/16o_4B-V7AWw_6E93bSpXj_XxVv1oVQctk-B6z1dNEWU/edit?usp=share_link"",""สงขลา!I99"")+IMPORTRANGE(""https://docs.google.com/spreadsheets/d/16cywr71Fj4fA5OGRHsZh30ZG2gwJhMAQv69oVBzYHv0/edit?usp=share_link"",""สตูล!I99"")+IMPORTRANGE(""h"&amp;"ttps://docs.google.com/spreadsheets/d/1vO9Sws6kMtrVtyvrAJptINXjK8TFBoX9xLYOVK_C8bQ/edit?usp=share_link"",""สุราษฎร์ธานี!I99"")"),95)</f>
        <v>95</v>
      </c>
      <c r="J99" s="36">
        <f ca="1">J104</f>
        <v>96</v>
      </c>
      <c r="K99" s="37">
        <f t="shared" ca="1" si="71"/>
        <v>101.05263157894737</v>
      </c>
      <c r="L99" s="37"/>
      <c r="M99" s="37"/>
      <c r="N99" s="37"/>
      <c r="O99" s="162"/>
      <c r="P99" s="162"/>
    </row>
    <row r="100" spans="1:16" ht="20.25" customHeight="1">
      <c r="A100" s="169"/>
      <c r="B100" s="170"/>
      <c r="C100" s="170"/>
      <c r="D100" s="170"/>
      <c r="E100" s="177"/>
      <c r="F100" s="177"/>
      <c r="G100" s="178"/>
      <c r="H100" s="35" t="s">
        <v>49</v>
      </c>
      <c r="I100" s="36">
        <f ca="1">IFERROR(__xludf.DUMMYFUNCTION("IMPORTRANGE(""https://docs.google.com/spreadsheets/d/1kC41EOXpGBFOW658Fs3oD8beYlym0-zO54WY-2Qnp9I/edit?usp=share_link"",""กระบี่!I100"")
+IMPORTRANGE(""https://docs.google.com/spreadsheets/d/1FbzMZY_f3MDiEuK7RpCQKrilJ_kpX0Wm7QBZ1L7EjIU/edit?usp=share_link"&amp;""",""ชุมพร!I100"")+IMPORTRANGE(""https://docs.google.com/spreadsheets/d/1v5sN-00LrXuhBxw4dkh2GrG_z4l5oAqOdJRBCsUyMaM/edit?usp=share_link"",""ตรัง!I100"")+IMPORTRANGE(""https://docs.google.com/spreadsheets/d/1T5rRTzFc79aSIvqnzkZNvwPstq829QYz_xALlO1Z0s8/edi"&amp;"t?usp=share_link"",""นครศรีธรรมราช!I100"")+IMPORTRANGE(""https://docs.google.com/spreadsheets/d/1BeghqumK0IvCmRd2QOy6_afsZq7ZtAGrSnVJy2u7WmY/edit?usp=share_link"",""นราธิวาส!I100"")+IMPORTRANGE(""https://docs.google.com/spreadsheets/d/1IwnW3-jjRf74MCLW-6P"&amp;"iFwMUffRQXZwZA7YM609NmRc/edit?usp=share_link"",""ปัตตานี!I100"")+IMPORTRANGE(""https://docs.google.com/spreadsheets/d/1vl4QWbWdFruual5o_wdo6ZSqXZ_it806oja4CctTLKs/edit?usp=share_link"",""พังงา!I100"")+IMPORTRANGE(""https://docs.google.com/spreadsheets/d/1"&amp;"b6QssHQp2FoAPSMKHOy273KNzAomaIKhtdlvuZ_zDNE/edit?usp=share_link"",""พัทลุง!I100"")+IMPORTRANGE(""https://docs.google.com/spreadsheets/d/1o7UZe4_OqlqtLDHrj01Z2YFRSZDf1DMy1n3XViHaxRc/edit?usp=share_link"",""ภูเก็ต!I100"")+IMPORTRANGE(""https://docs.google.c"&amp;"om/spreadsheets/d/1ctPm1vUzcUCPuOj9-eoHUD85PqINFqUB0TjdSWmR5-c/edit?usp=share_link"",""ยะลา!I100"")+IMPORTRANGE(""https://docs.google.com/spreadsheets/d/1YiDIE7Klmt8osgdapRqYWNr7iPGFSsiJqq46S7PYRE0/edit?usp=share_link"",""ระนอง!I100"")+IMPORTRANGE(""https"&amp;"://docs.google.com/spreadsheets/d/16o_4B-V7AWw_6E93bSpXj_XxVv1oVQctk-B6z1dNEWU/edit?usp=share_link"",""สงขลา!I100"")+IMPORTRANGE(""https://docs.google.com/spreadsheets/d/16cywr71Fj4fA5OGRHsZh30ZG2gwJhMAQv69oVBzYHv0/edit?usp=share_link"",""สตูล!I100"")+IMP"&amp;"ORTRANGE(""https://docs.google.com/spreadsheets/d/1vO9Sws6kMtrVtyvrAJptINXjK8TFBoX9xLYOVK_C8bQ/edit?usp=share_link"",""สุราษฎร์ธานี!I100"")"),19)</f>
        <v>19</v>
      </c>
      <c r="J100" s="36">
        <f ca="1">J107+J110</f>
        <v>19</v>
      </c>
      <c r="K100" s="37">
        <f t="shared" ca="1" si="71"/>
        <v>100</v>
      </c>
      <c r="L100" s="37"/>
      <c r="M100" s="37"/>
      <c r="N100" s="37"/>
      <c r="O100" s="162"/>
      <c r="P100" s="162"/>
    </row>
    <row r="101" spans="1:16" ht="20.25" customHeight="1">
      <c r="A101" s="169"/>
      <c r="B101" s="170"/>
      <c r="C101" s="170"/>
      <c r="D101" s="177"/>
      <c r="E101" s="185" t="s">
        <v>50</v>
      </c>
      <c r="F101" s="177"/>
      <c r="G101" s="178"/>
      <c r="H101" s="35"/>
      <c r="I101" s="36"/>
      <c r="J101" s="36"/>
      <c r="K101" s="37"/>
      <c r="L101" s="37"/>
      <c r="M101" s="37"/>
      <c r="N101" s="37"/>
      <c r="O101" s="162"/>
      <c r="P101" s="162"/>
    </row>
    <row r="102" spans="1:16" ht="20.25" customHeight="1">
      <c r="A102" s="169"/>
      <c r="B102" s="170"/>
      <c r="C102" s="170"/>
      <c r="D102" s="177"/>
      <c r="E102" s="186" t="s">
        <v>47</v>
      </c>
      <c r="F102" s="177"/>
      <c r="G102" s="178"/>
      <c r="H102" s="35" t="s">
        <v>46</v>
      </c>
      <c r="I102" s="36">
        <f ca="1">IFERROR(__xludf.DUMMYFUNCTION("IMPORTRANGE(""https://docs.google.com/spreadsheets/d/1kC41EOXpGBFOW658Fs3oD8beYlym0-zO54WY-2Qnp9I/edit?usp=share_link"",""กระบี่!I102"")
+IMPORTRANGE(""https://docs.google.com/spreadsheets/d/1FbzMZY_f3MDiEuK7RpCQKrilJ_kpX0Wm7QBZ1L7EjIU/edit?usp=share_link"&amp;""",""ชุมพร!I102"")+IMPORTRANGE(""https://docs.google.com/spreadsheets/d/1v5sN-00LrXuhBxw4dkh2GrG_z4l5oAqOdJRBCsUyMaM/edit?usp=share_link"",""ตรัง!I102"")+IMPORTRANGE(""https://docs.google.com/spreadsheets/d/1T5rRTzFc79aSIvqnzkZNvwPstq829QYz_xALlO1Z0s8/edi"&amp;"t?usp=share_link"",""นครศรีธรรมราช!I102"")+IMPORTRANGE(""https://docs.google.com/spreadsheets/d/1BeghqumK0IvCmRd2QOy6_afsZq7ZtAGrSnVJy2u7WmY/edit?usp=share_link"",""นราธิวาส!I102"")+IMPORTRANGE(""https://docs.google.com/spreadsheets/d/1IwnW3-jjRf74MCLW-6P"&amp;"iFwMUffRQXZwZA7YM609NmRc/edit?usp=share_link"",""ปัตตานี!I102"")+IMPORTRANGE(""https://docs.google.com/spreadsheets/d/1vl4QWbWdFruual5o_wdo6ZSqXZ_it806oja4CctTLKs/edit?usp=share_link"",""พังงา!I102"")+IMPORTRANGE(""https://docs.google.com/spreadsheets/d/1"&amp;"b6QssHQp2FoAPSMKHOy273KNzAomaIKhtdlvuZ_zDNE/edit?usp=share_link"",""พัทลุง!I102"")+IMPORTRANGE(""https://docs.google.com/spreadsheets/d/1o7UZe4_OqlqtLDHrj01Z2YFRSZDf1DMy1n3XViHaxRc/edit?usp=share_link"",""ภูเก็ต!I102"")+IMPORTRANGE(""https://docs.google.c"&amp;"om/spreadsheets/d/1ctPm1vUzcUCPuOj9-eoHUD85PqINFqUB0TjdSWmR5-c/edit?usp=share_link"",""ยะลา!I102"")+IMPORTRANGE(""https://docs.google.com/spreadsheets/d/1YiDIE7Klmt8osgdapRqYWNr7iPGFSsiJqq46S7PYRE0/edit?usp=share_link"",""ระนอง!I102"")+IMPORTRANGE(""https"&amp;"://docs.google.com/spreadsheets/d/16o_4B-V7AWw_6E93bSpXj_XxVv1oVQctk-B6z1dNEWU/edit?usp=share_link"",""สงขลา!I102"")+IMPORTRANGE(""https://docs.google.com/spreadsheets/d/16cywr71Fj4fA5OGRHsZh30ZG2gwJhMAQv69oVBzYHv0/edit?usp=share_link"",""สตูล!I102"")+IMP"&amp;"ORTRANGE(""https://docs.google.com/spreadsheets/d/1vO9Sws6kMtrVtyvrAJptINXjK8TFBoX9xLYOVK_C8bQ/edit?usp=share_link"",""สุราษฎร์ธานี!I102"")"),285)</f>
        <v>285</v>
      </c>
      <c r="J102" s="182">
        <f ca="1">IFERROR(__xludf.DUMMYFUNCTION("IMPORTRANGE(""https://docs.google.com/spreadsheets/d/1kC41EOXpGBFOW658Fs3oD8beYlym0-zO54WY-2Qnp9I/edit?usp=share_link"",""กระบี่!J102"")
+IMPORTRANGE(""https://docs.google.com/spreadsheets/d/1FbzMZY_f3MDiEuK7RpCQKrilJ_kpX0Wm7QBZ1L7EjIU/edit?usp=share_link"&amp;""",""ชุมพร!J102"")+IMPORTRANGE(""https://docs.google.com/spreadsheets/d/1v5sN-00LrXuhBxw4dkh2GrG_z4l5oAqOdJRBCsUyMaM/edit?usp=share_link"",""ตรัง!J102"")+IMPORTRANGE(""https://docs.google.com/spreadsheets/d/1T5rRTzFc79aSIvqnzkZNvwPstq829QYz_xALlO1Z0s8/edi"&amp;"t?usp=share_link"",""นครศรีธรรมราช!J102"")+IMPORTRANGE(""https://docs.google.com/spreadsheets/d/1BeghqumK0IvCmRd2QOy6_afsZq7ZtAGrSnVJy2u7WmY/edit?usp=share_link"",""นราธิวาส!J102"")+IMPORTRANGE(""https://docs.google.com/spreadsheets/d/1IwnW3-jjRf74MCLW-6P"&amp;"iFwMUffRQXZwZA7YM609NmRc/edit?usp=share_link"",""ปัตตานี!J102"")+IMPORTRANGE(""https://docs.google.com/spreadsheets/d/1vl4QWbWdFruual5o_wdo6ZSqXZ_it806oja4CctTLKs/edit?usp=share_link"",""พังงา!J102"")+IMPORTRANGE(""https://docs.google.com/spreadsheets/d/1"&amp;"b6QssHQp2FoAPSMKHOy273KNzAomaIKhtdlvuZ_zDNE/edit?usp=share_link"",""พัทลุง!J102"")+IMPORTRANGE(""https://docs.google.com/spreadsheets/d/1o7UZe4_OqlqtLDHrj01Z2YFRSZDf1DMy1n3XViHaxRc/edit?usp=share_link"",""ภูเก็ต!J102"")+IMPORTRANGE(""https://docs.google.c"&amp;"om/spreadsheets/d/1ctPm1vUzcUCPuOj9-eoHUD85PqINFqUB0TjdSWmR5-c/edit?usp=share_link"",""ยะลา!J102"")+IMPORTRANGE(""https://docs.google.com/spreadsheets/d/1YiDIE7Klmt8osgdapRqYWNr7iPGFSsiJqq46S7PYRE0/edit?usp=share_link"",""ระนอง!J102"")+IMPORTRANGE(""https"&amp;"://docs.google.com/spreadsheets/d/16o_4B-V7AWw_6E93bSpXj_XxVv1oVQctk-B6z1dNEWU/edit?usp=share_link"",""สงขลา!J102"")+IMPORTRANGE(""https://docs.google.com/spreadsheets/d/16cywr71Fj4fA5OGRHsZh30ZG2gwJhMAQv69oVBzYHv0/edit?usp=share_link"",""สตูล!J102"")+IMP"&amp;"ORTRANGE(""https://docs.google.com/spreadsheets/d/1vO9Sws6kMtrVtyvrAJptINXjK8TFBoX9xLYOVK_C8bQ/edit?usp=share_link"",""สุราษฎร์ธานี!J102"")"),285)</f>
        <v>285</v>
      </c>
      <c r="K102" s="37">
        <f t="shared" ref="K102:K104" ca="1" si="72">IF(I102&gt;0,J102*100/I102,0)</f>
        <v>100</v>
      </c>
      <c r="L102" s="37"/>
      <c r="M102" s="37"/>
      <c r="N102" s="37"/>
      <c r="O102" s="162"/>
      <c r="P102" s="162"/>
    </row>
    <row r="103" spans="1:16" ht="20.25" customHeight="1">
      <c r="A103" s="169"/>
      <c r="B103" s="170"/>
      <c r="C103" s="170"/>
      <c r="D103" s="177"/>
      <c r="E103" s="180" t="s">
        <v>51</v>
      </c>
      <c r="F103" s="177"/>
      <c r="G103" s="178"/>
      <c r="H103" s="35" t="s">
        <v>35</v>
      </c>
      <c r="I103" s="36">
        <f ca="1">IFERROR(__xludf.DUMMYFUNCTION("IMPORTRANGE(""https://docs.google.com/spreadsheets/d/1kC41EOXpGBFOW658Fs3oD8beYlym0-zO54WY-2Qnp9I/edit?usp=share_link"",""กระบี่!I103"")
+IMPORTRANGE(""https://docs.google.com/spreadsheets/d/1FbzMZY_f3MDiEuK7RpCQKrilJ_kpX0Wm7QBZ1L7EjIU/edit?usp=share_link"&amp;""",""ชุมพร!I103"")+IMPORTRANGE(""https://docs.google.com/spreadsheets/d/1v5sN-00LrXuhBxw4dkh2GrG_z4l5oAqOdJRBCsUyMaM/edit?usp=share_link"",""ตรัง!I103"")+IMPORTRANGE(""https://docs.google.com/spreadsheets/d/1T5rRTzFc79aSIvqnzkZNvwPstq829QYz_xALlO1Z0s8/edi"&amp;"t?usp=share_link"",""นครศรีธรรมราช!I103"")+IMPORTRANGE(""https://docs.google.com/spreadsheets/d/1BeghqumK0IvCmRd2QOy6_afsZq7ZtAGrSnVJy2u7WmY/edit?usp=share_link"",""นราธิวาส!I103"")+IMPORTRANGE(""https://docs.google.com/spreadsheets/d/1IwnW3-jjRf74MCLW-6P"&amp;"iFwMUffRQXZwZA7YM609NmRc/edit?usp=share_link"",""ปัตตานี!I103"")+IMPORTRANGE(""https://docs.google.com/spreadsheets/d/1vl4QWbWdFruual5o_wdo6ZSqXZ_it806oja4CctTLKs/edit?usp=share_link"",""พังงา!I103"")+IMPORTRANGE(""https://docs.google.com/spreadsheets/d/1"&amp;"b6QssHQp2FoAPSMKHOy273KNzAomaIKhtdlvuZ_zDNE/edit?usp=share_link"",""พัทลุง!I103"")+IMPORTRANGE(""https://docs.google.com/spreadsheets/d/1o7UZe4_OqlqtLDHrj01Z2YFRSZDf1DMy1n3XViHaxRc/edit?usp=share_link"",""ภูเก็ต!I103"")+IMPORTRANGE(""https://docs.google.c"&amp;"om/spreadsheets/d/1ctPm1vUzcUCPuOj9-eoHUD85PqINFqUB0TjdSWmR5-c/edit?usp=share_link"",""ยะลา!I103"")+IMPORTRANGE(""https://docs.google.com/spreadsheets/d/1YiDIE7Klmt8osgdapRqYWNr7iPGFSsiJqq46S7PYRE0/edit?usp=share_link"",""ระนอง!I103"")+IMPORTRANGE(""https"&amp;"://docs.google.com/spreadsheets/d/16o_4B-V7AWw_6E93bSpXj_XxVv1oVQctk-B6z1dNEWU/edit?usp=share_link"",""สงขลา!I103"")+IMPORTRANGE(""https://docs.google.com/spreadsheets/d/16cywr71Fj4fA5OGRHsZh30ZG2gwJhMAQv69oVBzYHv0/edit?usp=share_link"",""สตูล!I103"")+IMP"&amp;"ORTRANGE(""https://docs.google.com/spreadsheets/d/1vO9Sws6kMtrVtyvrAJptINXjK8TFBoX9xLYOVK_C8bQ/edit?usp=share_link"",""สุราษฎร์ธานี!I103"")"),95)</f>
        <v>95</v>
      </c>
      <c r="J103" s="182">
        <f ca="1">IFERROR(__xludf.DUMMYFUNCTION("IMPORTRANGE(""https://docs.google.com/spreadsheets/d/1kC41EOXpGBFOW658Fs3oD8beYlym0-zO54WY-2Qnp9I/edit?usp=share_link"",""กระบี่!J103"")
+IMPORTRANGE(""https://docs.google.com/spreadsheets/d/1FbzMZY_f3MDiEuK7RpCQKrilJ_kpX0Wm7QBZ1L7EjIU/edit?usp=share_link"&amp;""",""ชุมพร!J103"")+IMPORTRANGE(""https://docs.google.com/spreadsheets/d/1v5sN-00LrXuhBxw4dkh2GrG_z4l5oAqOdJRBCsUyMaM/edit?usp=share_link"",""ตรัง!J103"")+IMPORTRANGE(""https://docs.google.com/spreadsheets/d/1T5rRTzFc79aSIvqnzkZNvwPstq829QYz_xALlO1Z0s8/edi"&amp;"t?usp=share_link"",""นครศรีธรรมราช!J103"")+IMPORTRANGE(""https://docs.google.com/spreadsheets/d/1BeghqumK0IvCmRd2QOy6_afsZq7ZtAGrSnVJy2u7WmY/edit?usp=share_link"",""นราธิวาส!J103"")+IMPORTRANGE(""https://docs.google.com/spreadsheets/d/1IwnW3-jjRf74MCLW-6P"&amp;"iFwMUffRQXZwZA7YM609NmRc/edit?usp=share_link"",""ปัตตานี!J103"")+IMPORTRANGE(""https://docs.google.com/spreadsheets/d/1vl4QWbWdFruual5o_wdo6ZSqXZ_it806oja4CctTLKs/edit?usp=share_link"",""พังงา!J103"")+IMPORTRANGE(""https://docs.google.com/spreadsheets/d/1"&amp;"b6QssHQp2FoAPSMKHOy273KNzAomaIKhtdlvuZ_zDNE/edit?usp=share_link"",""พัทลุง!J103"")+IMPORTRANGE(""https://docs.google.com/spreadsheets/d/1o7UZe4_OqlqtLDHrj01Z2YFRSZDf1DMy1n3XViHaxRc/edit?usp=share_link"",""ภูเก็ต!J103"")+IMPORTRANGE(""https://docs.google.c"&amp;"om/spreadsheets/d/1ctPm1vUzcUCPuOj9-eoHUD85PqINFqUB0TjdSWmR5-c/edit?usp=share_link"",""ยะลา!J103"")+IMPORTRANGE(""https://docs.google.com/spreadsheets/d/1YiDIE7Klmt8osgdapRqYWNr7iPGFSsiJqq46S7PYRE0/edit?usp=share_link"",""ระนอง!J103"")+IMPORTRANGE(""https"&amp;"://docs.google.com/spreadsheets/d/16o_4B-V7AWw_6E93bSpXj_XxVv1oVQctk-B6z1dNEWU/edit?usp=share_link"",""สงขลา!J103"")+IMPORTRANGE(""https://docs.google.com/spreadsheets/d/16cywr71Fj4fA5OGRHsZh30ZG2gwJhMAQv69oVBzYHv0/edit?usp=share_link"",""สตูล!J103"")+IMP"&amp;"ORTRANGE(""https://docs.google.com/spreadsheets/d/1vO9Sws6kMtrVtyvrAJptINXjK8TFBoX9xLYOVK_C8bQ/edit?usp=share_link"",""สุราษฎร์ธานี!J103"")"),96)</f>
        <v>96</v>
      </c>
      <c r="K103" s="37">
        <f t="shared" ca="1" si="72"/>
        <v>101.05263157894737</v>
      </c>
      <c r="L103" s="37"/>
      <c r="M103" s="37"/>
      <c r="N103" s="37"/>
      <c r="O103" s="162"/>
      <c r="P103" s="162"/>
    </row>
    <row r="104" spans="1:16" ht="20.25" customHeight="1">
      <c r="A104" s="169"/>
      <c r="B104" s="170"/>
      <c r="C104" s="170"/>
      <c r="D104" s="177"/>
      <c r="E104" s="187" t="s">
        <v>52</v>
      </c>
      <c r="F104" s="177"/>
      <c r="G104" s="178"/>
      <c r="H104" s="35" t="s">
        <v>35</v>
      </c>
      <c r="I104" s="36">
        <f ca="1">IFERROR(__xludf.DUMMYFUNCTION("IMPORTRANGE(""https://docs.google.com/spreadsheets/d/1kC41EOXpGBFOW658Fs3oD8beYlym0-zO54WY-2Qnp9I/edit?usp=share_link"",""กระบี่!I104"")
+IMPORTRANGE(""https://docs.google.com/spreadsheets/d/1FbzMZY_f3MDiEuK7RpCQKrilJ_kpX0Wm7QBZ1L7EjIU/edit?usp=share_link"&amp;""",""ชุมพร!I104"")+IMPORTRANGE(""https://docs.google.com/spreadsheets/d/1v5sN-00LrXuhBxw4dkh2GrG_z4l5oAqOdJRBCsUyMaM/edit?usp=share_link"",""ตรัง!I104"")+IMPORTRANGE(""https://docs.google.com/spreadsheets/d/1T5rRTzFc79aSIvqnzkZNvwPstq829QYz_xALlO1Z0s8/edi"&amp;"t?usp=share_link"",""นครศรีธรรมราช!I104"")+IMPORTRANGE(""https://docs.google.com/spreadsheets/d/1BeghqumK0IvCmRd2QOy6_afsZq7ZtAGrSnVJy2u7WmY/edit?usp=share_link"",""นราธิวาส!I104"")+IMPORTRANGE(""https://docs.google.com/spreadsheets/d/1IwnW3-jjRf74MCLW-6P"&amp;"iFwMUffRQXZwZA7YM609NmRc/edit?usp=share_link"",""ปัตตานี!I104"")+IMPORTRANGE(""https://docs.google.com/spreadsheets/d/1vl4QWbWdFruual5o_wdo6ZSqXZ_it806oja4CctTLKs/edit?usp=share_link"",""พังงา!I104"")+IMPORTRANGE(""https://docs.google.com/spreadsheets/d/1"&amp;"b6QssHQp2FoAPSMKHOy273KNzAomaIKhtdlvuZ_zDNE/edit?usp=share_link"",""พัทลุง!I104"")+IMPORTRANGE(""https://docs.google.com/spreadsheets/d/1o7UZe4_OqlqtLDHrj01Z2YFRSZDf1DMy1n3XViHaxRc/edit?usp=share_link"",""ภูเก็ต!I104"")+IMPORTRANGE(""https://docs.google.c"&amp;"om/spreadsheets/d/1ctPm1vUzcUCPuOj9-eoHUD85PqINFqUB0TjdSWmR5-c/edit?usp=share_link"",""ยะลา!I104"")+IMPORTRANGE(""https://docs.google.com/spreadsheets/d/1YiDIE7Klmt8osgdapRqYWNr7iPGFSsiJqq46S7PYRE0/edit?usp=share_link"",""ระนอง!I104"")+IMPORTRANGE(""https"&amp;"://docs.google.com/spreadsheets/d/16o_4B-V7AWw_6E93bSpXj_XxVv1oVQctk-B6z1dNEWU/edit?usp=share_link"",""สงขลา!I104"")+IMPORTRANGE(""https://docs.google.com/spreadsheets/d/16cywr71Fj4fA5OGRHsZh30ZG2gwJhMAQv69oVBzYHv0/edit?usp=share_link"",""สตูล!I104"")+IMP"&amp;"ORTRANGE(""https://docs.google.com/spreadsheets/d/1vO9Sws6kMtrVtyvrAJptINXjK8TFBoX9xLYOVK_C8bQ/edit?usp=share_link"",""สุราษฎร์ธานี!I104"")"),95)</f>
        <v>95</v>
      </c>
      <c r="J104" s="182">
        <f ca="1">IFERROR(__xludf.DUMMYFUNCTION("IMPORTRANGE(""https://docs.google.com/spreadsheets/d/1kC41EOXpGBFOW658Fs3oD8beYlym0-zO54WY-2Qnp9I/edit?usp=share_link"",""กระบี่!J104"")
+IMPORTRANGE(""https://docs.google.com/spreadsheets/d/1FbzMZY_f3MDiEuK7RpCQKrilJ_kpX0Wm7QBZ1L7EjIU/edit?usp=share_link"&amp;""",""ชุมพร!J104"")+IMPORTRANGE(""https://docs.google.com/spreadsheets/d/1v5sN-00LrXuhBxw4dkh2GrG_z4l5oAqOdJRBCsUyMaM/edit?usp=share_link"",""ตรัง!J104"")+IMPORTRANGE(""https://docs.google.com/spreadsheets/d/1T5rRTzFc79aSIvqnzkZNvwPstq829QYz_xALlO1Z0s8/edi"&amp;"t?usp=share_link"",""นครศรีธรรมราช!J104"")+IMPORTRANGE(""https://docs.google.com/spreadsheets/d/1BeghqumK0IvCmRd2QOy6_afsZq7ZtAGrSnVJy2u7WmY/edit?usp=share_link"",""นราธิวาส!J104"")+IMPORTRANGE(""https://docs.google.com/spreadsheets/d/1IwnW3-jjRf74MCLW-6P"&amp;"iFwMUffRQXZwZA7YM609NmRc/edit?usp=share_link"",""ปัตตานี!J104"")+IMPORTRANGE(""https://docs.google.com/spreadsheets/d/1vl4QWbWdFruual5o_wdo6ZSqXZ_it806oja4CctTLKs/edit?usp=share_link"",""พังงา!J104"")+IMPORTRANGE(""https://docs.google.com/spreadsheets/d/1"&amp;"b6QssHQp2FoAPSMKHOy273KNzAomaIKhtdlvuZ_zDNE/edit?usp=share_link"",""พัทลุง!J104"")+IMPORTRANGE(""https://docs.google.com/spreadsheets/d/1o7UZe4_OqlqtLDHrj01Z2YFRSZDf1DMy1n3XViHaxRc/edit?usp=share_link"",""ภูเก็ต!J104"")+IMPORTRANGE(""https://docs.google.c"&amp;"om/spreadsheets/d/1ctPm1vUzcUCPuOj9-eoHUD85PqINFqUB0TjdSWmR5-c/edit?usp=share_link"",""ยะลา!J104"")+IMPORTRANGE(""https://docs.google.com/spreadsheets/d/1YiDIE7Klmt8osgdapRqYWNr7iPGFSsiJqq46S7PYRE0/edit?usp=share_link"",""ระนอง!J104"")+IMPORTRANGE(""https"&amp;"://docs.google.com/spreadsheets/d/16o_4B-V7AWw_6E93bSpXj_XxVv1oVQctk-B6z1dNEWU/edit?usp=share_link"",""สงขลา!J104"")+IMPORTRANGE(""https://docs.google.com/spreadsheets/d/16cywr71Fj4fA5OGRHsZh30ZG2gwJhMAQv69oVBzYHv0/edit?usp=share_link"",""สตูล!J104"")+IMP"&amp;"ORTRANGE(""https://docs.google.com/spreadsheets/d/1vO9Sws6kMtrVtyvrAJptINXjK8TFBoX9xLYOVK_C8bQ/edit?usp=share_link"",""สุราษฎร์ธานี!J104"")"),96)</f>
        <v>96</v>
      </c>
      <c r="K104" s="37">
        <f t="shared" ca="1" si="72"/>
        <v>101.05263157894737</v>
      </c>
      <c r="L104" s="37"/>
      <c r="M104" s="37"/>
      <c r="N104" s="37"/>
      <c r="O104" s="162"/>
      <c r="P104" s="162"/>
    </row>
    <row r="105" spans="1:16" ht="20.25" customHeight="1">
      <c r="A105" s="169"/>
      <c r="B105" s="170"/>
      <c r="C105" s="170"/>
      <c r="D105" s="177"/>
      <c r="E105" s="185" t="s">
        <v>53</v>
      </c>
      <c r="F105" s="177"/>
      <c r="G105" s="178"/>
      <c r="H105" s="188"/>
      <c r="I105" s="36"/>
      <c r="J105" s="36"/>
      <c r="K105" s="37"/>
      <c r="L105" s="37"/>
      <c r="M105" s="37"/>
      <c r="N105" s="37"/>
      <c r="O105" s="162"/>
      <c r="P105" s="162"/>
    </row>
    <row r="106" spans="1:16" ht="20.25" customHeight="1">
      <c r="A106" s="169"/>
      <c r="B106" s="170"/>
      <c r="C106" s="170"/>
      <c r="D106" s="177"/>
      <c r="E106" s="180" t="s">
        <v>54</v>
      </c>
      <c r="F106" s="177"/>
      <c r="G106" s="178"/>
      <c r="H106" s="35" t="s">
        <v>49</v>
      </c>
      <c r="I106" s="36">
        <f ca="1">IFERROR(__xludf.DUMMYFUNCTION("IMPORTRANGE(""https://docs.google.com/spreadsheets/d/1kC41EOXpGBFOW658Fs3oD8beYlym0-zO54WY-2Qnp9I/edit?usp=share_link"",""กระบี่!I106"")
+IMPORTRANGE(""https://docs.google.com/spreadsheets/d/1FbzMZY_f3MDiEuK7RpCQKrilJ_kpX0Wm7QBZ1L7EjIU/edit?usp=share_link"&amp;""",""ชุมพร!I106"")+IMPORTRANGE(""https://docs.google.com/spreadsheets/d/1v5sN-00LrXuhBxw4dkh2GrG_z4l5oAqOdJRBCsUyMaM/edit?usp=share_link"",""ตรัง!I106"")+IMPORTRANGE(""https://docs.google.com/spreadsheets/d/1T5rRTzFc79aSIvqnzkZNvwPstq829QYz_xALlO1Z0s8/edi"&amp;"t?usp=share_link"",""นครศรีธรรมราช!I106"")+IMPORTRANGE(""https://docs.google.com/spreadsheets/d/1BeghqumK0IvCmRd2QOy6_afsZq7ZtAGrSnVJy2u7WmY/edit?usp=share_link"",""นราธิวาส!I106"")+IMPORTRANGE(""https://docs.google.com/spreadsheets/d/1IwnW3-jjRf74MCLW-6P"&amp;"iFwMUffRQXZwZA7YM609NmRc/edit?usp=share_link"",""ปัตตานี!I106"")+IMPORTRANGE(""https://docs.google.com/spreadsheets/d/1vl4QWbWdFruual5o_wdo6ZSqXZ_it806oja4CctTLKs/edit?usp=share_link"",""พังงา!I106"")+IMPORTRANGE(""https://docs.google.com/spreadsheets/d/1"&amp;"b6QssHQp2FoAPSMKHOy273KNzAomaIKhtdlvuZ_zDNE/edit?usp=share_link"",""พัทลุง!I106"")+IMPORTRANGE(""https://docs.google.com/spreadsheets/d/1o7UZe4_OqlqtLDHrj01Z2YFRSZDf1DMy1n3XViHaxRc/edit?usp=share_link"",""ภูเก็ต!I106"")+IMPORTRANGE(""https://docs.google.c"&amp;"om/spreadsheets/d/1ctPm1vUzcUCPuOj9-eoHUD85PqINFqUB0TjdSWmR5-c/edit?usp=share_link"",""ยะลา!I106"")+IMPORTRANGE(""https://docs.google.com/spreadsheets/d/1YiDIE7Klmt8osgdapRqYWNr7iPGFSsiJqq46S7PYRE0/edit?usp=share_link"",""ระนอง!I106"")+IMPORTRANGE(""https"&amp;"://docs.google.com/spreadsheets/d/16o_4B-V7AWw_6E93bSpXj_XxVv1oVQctk-B6z1dNEWU/edit?usp=share_link"",""สงขลา!I106"")+IMPORTRANGE(""https://docs.google.com/spreadsheets/d/16cywr71Fj4fA5OGRHsZh30ZG2gwJhMAQv69oVBzYHv0/edit?usp=share_link"",""สตูล!I106"")+IMP"&amp;"ORTRANGE(""https://docs.google.com/spreadsheets/d/1vO9Sws6kMtrVtyvrAJptINXjK8TFBoX9xLYOVK_C8bQ/edit?usp=share_link"",""สุราษฎร์ธานี!I106"")"),11)</f>
        <v>11</v>
      </c>
      <c r="J106" s="182">
        <f ca="1">IFERROR(__xludf.DUMMYFUNCTION("IMPORTRANGE(""https://docs.google.com/spreadsheets/d/1kC41EOXpGBFOW658Fs3oD8beYlym0-zO54WY-2Qnp9I/edit?usp=share_link"",""กระบี่!J106"")
+IMPORTRANGE(""https://docs.google.com/spreadsheets/d/1FbzMZY_f3MDiEuK7RpCQKrilJ_kpX0Wm7QBZ1L7EjIU/edit?usp=share_link"&amp;""",""ชุมพร!J106"")+IMPORTRANGE(""https://docs.google.com/spreadsheets/d/1v5sN-00LrXuhBxw4dkh2GrG_z4l5oAqOdJRBCsUyMaM/edit?usp=share_link"",""ตรัง!J106"")+IMPORTRANGE(""https://docs.google.com/spreadsheets/d/1T5rRTzFc79aSIvqnzkZNvwPstq829QYz_xALlO1Z0s8/edi"&amp;"t?usp=share_link"",""นครศรีธรรมราช!J106"")+IMPORTRANGE(""https://docs.google.com/spreadsheets/d/1BeghqumK0IvCmRd2QOy6_afsZq7ZtAGrSnVJy2u7WmY/edit?usp=share_link"",""นราธิวาส!J106"")+IMPORTRANGE(""https://docs.google.com/spreadsheets/d/1IwnW3-jjRf74MCLW-6P"&amp;"iFwMUffRQXZwZA7YM609NmRc/edit?usp=share_link"",""ปัตตานี!J106"")+IMPORTRANGE(""https://docs.google.com/spreadsheets/d/1vl4QWbWdFruual5o_wdo6ZSqXZ_it806oja4CctTLKs/edit?usp=share_link"",""พังงา!J106"")+IMPORTRANGE(""https://docs.google.com/spreadsheets/d/1"&amp;"b6QssHQp2FoAPSMKHOy273KNzAomaIKhtdlvuZ_zDNE/edit?usp=share_link"",""พัทลุง!J106"")+IMPORTRANGE(""https://docs.google.com/spreadsheets/d/1o7UZe4_OqlqtLDHrj01Z2YFRSZDf1DMy1n3XViHaxRc/edit?usp=share_link"",""ภูเก็ต!J106"")+IMPORTRANGE(""https://docs.google.c"&amp;"om/spreadsheets/d/1ctPm1vUzcUCPuOj9-eoHUD85PqINFqUB0TjdSWmR5-c/edit?usp=share_link"",""ยะลา!J106"")+IMPORTRANGE(""https://docs.google.com/spreadsheets/d/1YiDIE7Klmt8osgdapRqYWNr7iPGFSsiJqq46S7PYRE0/edit?usp=share_link"",""ระนอง!J106"")+IMPORTRANGE(""https"&amp;"://docs.google.com/spreadsheets/d/16o_4B-V7AWw_6E93bSpXj_XxVv1oVQctk-B6z1dNEWU/edit?usp=share_link"",""สงขลา!J106"")+IMPORTRANGE(""https://docs.google.com/spreadsheets/d/16cywr71Fj4fA5OGRHsZh30ZG2gwJhMAQv69oVBzYHv0/edit?usp=share_link"",""สตูล!J106"")+IMP"&amp;"ORTRANGE(""https://docs.google.com/spreadsheets/d/1vO9Sws6kMtrVtyvrAJptINXjK8TFBoX9xLYOVK_C8bQ/edit?usp=share_link"",""สุราษฎร์ธานี!J106"")"),11)</f>
        <v>11</v>
      </c>
      <c r="K106" s="37">
        <f t="shared" ref="K106:K107" ca="1" si="73">IF(I106&gt;0,J106*100/I106,0)</f>
        <v>100</v>
      </c>
      <c r="L106" s="37"/>
      <c r="M106" s="37"/>
      <c r="N106" s="37"/>
      <c r="O106" s="162"/>
      <c r="P106" s="162"/>
    </row>
    <row r="107" spans="1:16" ht="20.25" customHeight="1">
      <c r="A107" s="169"/>
      <c r="B107" s="170"/>
      <c r="C107" s="170"/>
      <c r="D107" s="177"/>
      <c r="E107" s="187" t="s">
        <v>55</v>
      </c>
      <c r="F107" s="177"/>
      <c r="G107" s="178"/>
      <c r="H107" s="35" t="s">
        <v>49</v>
      </c>
      <c r="I107" s="36">
        <f ca="1">IFERROR(__xludf.DUMMYFUNCTION("IMPORTRANGE(""https://docs.google.com/spreadsheets/d/1kC41EOXpGBFOW658Fs3oD8beYlym0-zO54WY-2Qnp9I/edit?usp=share_link"",""กระบี่!I107"")
+IMPORTRANGE(""https://docs.google.com/spreadsheets/d/1FbzMZY_f3MDiEuK7RpCQKrilJ_kpX0Wm7QBZ1L7EjIU/edit?usp=share_link"&amp;""",""ชุมพร!I107"")+IMPORTRANGE(""https://docs.google.com/spreadsheets/d/1v5sN-00LrXuhBxw4dkh2GrG_z4l5oAqOdJRBCsUyMaM/edit?usp=share_link"",""ตรัง!I107"")+IMPORTRANGE(""https://docs.google.com/spreadsheets/d/1T5rRTzFc79aSIvqnzkZNvwPstq829QYz_xALlO1Z0s8/edi"&amp;"t?usp=share_link"",""นครศรีธรรมราช!I107"")+IMPORTRANGE(""https://docs.google.com/spreadsheets/d/1BeghqumK0IvCmRd2QOy6_afsZq7ZtAGrSnVJy2u7WmY/edit?usp=share_link"",""นราธิวาส!I107"")+IMPORTRANGE(""https://docs.google.com/spreadsheets/d/1IwnW3-jjRf74MCLW-6P"&amp;"iFwMUffRQXZwZA7YM609NmRc/edit?usp=share_link"",""ปัตตานี!I107"")+IMPORTRANGE(""https://docs.google.com/spreadsheets/d/1vl4QWbWdFruual5o_wdo6ZSqXZ_it806oja4CctTLKs/edit?usp=share_link"",""พังงา!I107"")+IMPORTRANGE(""https://docs.google.com/spreadsheets/d/1"&amp;"b6QssHQp2FoAPSMKHOy273KNzAomaIKhtdlvuZ_zDNE/edit?usp=share_link"",""พัทลุง!I107"")+IMPORTRANGE(""https://docs.google.com/spreadsheets/d/1o7UZe4_OqlqtLDHrj01Z2YFRSZDf1DMy1n3XViHaxRc/edit?usp=share_link"",""ภูเก็ต!I107"")+IMPORTRANGE(""https://docs.google.c"&amp;"om/spreadsheets/d/1ctPm1vUzcUCPuOj9-eoHUD85PqINFqUB0TjdSWmR5-c/edit?usp=share_link"",""ยะลา!I107"")+IMPORTRANGE(""https://docs.google.com/spreadsheets/d/1YiDIE7Klmt8osgdapRqYWNr7iPGFSsiJqq46S7PYRE0/edit?usp=share_link"",""ระนอง!I107"")+IMPORTRANGE(""https"&amp;"://docs.google.com/spreadsheets/d/16o_4B-V7AWw_6E93bSpXj_XxVv1oVQctk-B6z1dNEWU/edit?usp=share_link"",""สงขลา!I107"")+IMPORTRANGE(""https://docs.google.com/spreadsheets/d/16cywr71Fj4fA5OGRHsZh30ZG2gwJhMAQv69oVBzYHv0/edit?usp=share_link"",""สตูล!I107"")+IMP"&amp;"ORTRANGE(""https://docs.google.com/spreadsheets/d/1vO9Sws6kMtrVtyvrAJptINXjK8TFBoX9xLYOVK_C8bQ/edit?usp=share_link"",""สุราษฎร์ธานี!I107"")"),11)</f>
        <v>11</v>
      </c>
      <c r="J107" s="182">
        <f ca="1">IFERROR(__xludf.DUMMYFUNCTION("IMPORTRANGE(""https://docs.google.com/spreadsheets/d/1kC41EOXpGBFOW658Fs3oD8beYlym0-zO54WY-2Qnp9I/edit?usp=share_link"",""กระบี่!J107"")
+IMPORTRANGE(""https://docs.google.com/spreadsheets/d/1FbzMZY_f3MDiEuK7RpCQKrilJ_kpX0Wm7QBZ1L7EjIU/edit?usp=share_link"&amp;""",""ชุมพร!J107"")+IMPORTRANGE(""https://docs.google.com/spreadsheets/d/1v5sN-00LrXuhBxw4dkh2GrG_z4l5oAqOdJRBCsUyMaM/edit?usp=share_link"",""ตรัง!J107"")+IMPORTRANGE(""https://docs.google.com/spreadsheets/d/1T5rRTzFc79aSIvqnzkZNvwPstq829QYz_xALlO1Z0s8/edi"&amp;"t?usp=share_link"",""นครศรีธรรมราช!J107"")+IMPORTRANGE(""https://docs.google.com/spreadsheets/d/1BeghqumK0IvCmRd2QOy6_afsZq7ZtAGrSnVJy2u7WmY/edit?usp=share_link"",""นราธิวาส!J107"")+IMPORTRANGE(""https://docs.google.com/spreadsheets/d/1IwnW3-jjRf74MCLW-6P"&amp;"iFwMUffRQXZwZA7YM609NmRc/edit?usp=share_link"",""ปัตตานี!J107"")+IMPORTRANGE(""https://docs.google.com/spreadsheets/d/1vl4QWbWdFruual5o_wdo6ZSqXZ_it806oja4CctTLKs/edit?usp=share_link"",""พังงา!J107"")+IMPORTRANGE(""https://docs.google.com/spreadsheets/d/1"&amp;"b6QssHQp2FoAPSMKHOy273KNzAomaIKhtdlvuZ_zDNE/edit?usp=share_link"",""พัทลุง!J107"")+IMPORTRANGE(""https://docs.google.com/spreadsheets/d/1o7UZe4_OqlqtLDHrj01Z2YFRSZDf1DMy1n3XViHaxRc/edit?usp=share_link"",""ภูเก็ต!J107"")+IMPORTRANGE(""https://docs.google.c"&amp;"om/spreadsheets/d/1ctPm1vUzcUCPuOj9-eoHUD85PqINFqUB0TjdSWmR5-c/edit?usp=share_link"",""ยะลา!J107"")+IMPORTRANGE(""https://docs.google.com/spreadsheets/d/1YiDIE7Klmt8osgdapRqYWNr7iPGFSsiJqq46S7PYRE0/edit?usp=share_link"",""ระนอง!J107"")+IMPORTRANGE(""https"&amp;"://docs.google.com/spreadsheets/d/16o_4B-V7AWw_6E93bSpXj_XxVv1oVQctk-B6z1dNEWU/edit?usp=share_link"",""สงขลา!J107"")+IMPORTRANGE(""https://docs.google.com/spreadsheets/d/16cywr71Fj4fA5OGRHsZh30ZG2gwJhMAQv69oVBzYHv0/edit?usp=share_link"",""สตูล!J107"")+IMP"&amp;"ORTRANGE(""https://docs.google.com/spreadsheets/d/1vO9Sws6kMtrVtyvrAJptINXjK8TFBoX9xLYOVK_C8bQ/edit?usp=share_link"",""สุราษฎร์ธานี!J107"")"),11)</f>
        <v>11</v>
      </c>
      <c r="K107" s="37">
        <f t="shared" ca="1" si="73"/>
        <v>100</v>
      </c>
      <c r="L107" s="37"/>
      <c r="M107" s="37"/>
      <c r="N107" s="37"/>
      <c r="O107" s="162"/>
      <c r="P107" s="162"/>
    </row>
    <row r="108" spans="1:16" ht="20.25" customHeight="1">
      <c r="A108" s="169"/>
      <c r="B108" s="170"/>
      <c r="C108" s="170"/>
      <c r="D108" s="177"/>
      <c r="E108" s="185" t="s">
        <v>56</v>
      </c>
      <c r="F108" s="177"/>
      <c r="G108" s="178"/>
      <c r="H108" s="188"/>
      <c r="I108" s="36"/>
      <c r="J108" s="36"/>
      <c r="K108" s="37"/>
      <c r="L108" s="37"/>
      <c r="M108" s="37"/>
      <c r="N108" s="37"/>
      <c r="O108" s="162"/>
      <c r="P108" s="162"/>
    </row>
    <row r="109" spans="1:16" ht="20.25" customHeight="1">
      <c r="A109" s="169"/>
      <c r="B109" s="170"/>
      <c r="C109" s="170"/>
      <c r="D109" s="177"/>
      <c r="E109" s="180" t="s">
        <v>57</v>
      </c>
      <c r="F109" s="177"/>
      <c r="G109" s="178"/>
      <c r="H109" s="35" t="s">
        <v>49</v>
      </c>
      <c r="I109" s="36">
        <f ca="1">IFERROR(__xludf.DUMMYFUNCTION("IMPORTRANGE(""https://docs.google.com/spreadsheets/d/1kC41EOXpGBFOW658Fs3oD8beYlym0-zO54WY-2Qnp9I/edit?usp=share_link"",""กระบี่!I109"")
+IMPORTRANGE(""https://docs.google.com/spreadsheets/d/1FbzMZY_f3MDiEuK7RpCQKrilJ_kpX0Wm7QBZ1L7EjIU/edit?usp=share_link"&amp;""",""ชุมพร!I109"")+IMPORTRANGE(""https://docs.google.com/spreadsheets/d/1v5sN-00LrXuhBxw4dkh2GrG_z4l5oAqOdJRBCsUyMaM/edit?usp=share_link"",""ตรัง!I109"")+IMPORTRANGE(""https://docs.google.com/spreadsheets/d/1T5rRTzFc79aSIvqnzkZNvwPstq829QYz_xALlO1Z0s8/edi"&amp;"t?usp=share_link"",""นครศรีธรรมราช!I109"")+IMPORTRANGE(""https://docs.google.com/spreadsheets/d/1BeghqumK0IvCmRd2QOy6_afsZq7ZtAGrSnVJy2u7WmY/edit?usp=share_link"",""นราธิวาส!I109"")+IMPORTRANGE(""https://docs.google.com/spreadsheets/d/1IwnW3-jjRf74MCLW-6P"&amp;"iFwMUffRQXZwZA7YM609NmRc/edit?usp=share_link"",""ปัตตานี!I109"")+IMPORTRANGE(""https://docs.google.com/spreadsheets/d/1vl4QWbWdFruual5o_wdo6ZSqXZ_it806oja4CctTLKs/edit?usp=share_link"",""พังงา!I109"")+IMPORTRANGE(""https://docs.google.com/spreadsheets/d/1"&amp;"b6QssHQp2FoAPSMKHOy273KNzAomaIKhtdlvuZ_zDNE/edit?usp=share_link"",""พัทลุง!I109"")+IMPORTRANGE(""https://docs.google.com/spreadsheets/d/1o7UZe4_OqlqtLDHrj01Z2YFRSZDf1DMy1n3XViHaxRc/edit?usp=share_link"",""ภูเก็ต!I109"")+IMPORTRANGE(""https://docs.google.c"&amp;"om/spreadsheets/d/1ctPm1vUzcUCPuOj9-eoHUD85PqINFqUB0TjdSWmR5-c/edit?usp=share_link"",""ยะลา!I109"")+IMPORTRANGE(""https://docs.google.com/spreadsheets/d/1YiDIE7Klmt8osgdapRqYWNr7iPGFSsiJqq46S7PYRE0/edit?usp=share_link"",""ระนอง!I109"")+IMPORTRANGE(""https"&amp;"://docs.google.com/spreadsheets/d/16o_4B-V7AWw_6E93bSpXj_XxVv1oVQctk-B6z1dNEWU/edit?usp=share_link"",""สงขลา!I109"")+IMPORTRANGE(""https://docs.google.com/spreadsheets/d/16cywr71Fj4fA5OGRHsZh30ZG2gwJhMAQv69oVBzYHv0/edit?usp=share_link"",""สตูล!I109"")+IMP"&amp;"ORTRANGE(""https://docs.google.com/spreadsheets/d/1vO9Sws6kMtrVtyvrAJptINXjK8TFBoX9xLYOVK_C8bQ/edit?usp=share_link"",""สุราษฎร์ธานี!I109"")"),8)</f>
        <v>8</v>
      </c>
      <c r="J109" s="182">
        <f ca="1">IFERROR(__xludf.DUMMYFUNCTION("IMPORTRANGE(""https://docs.google.com/spreadsheets/d/1kC41EOXpGBFOW658Fs3oD8beYlym0-zO54WY-2Qnp9I/edit?usp=share_link"",""กระบี่!J109"")
+IMPORTRANGE(""https://docs.google.com/spreadsheets/d/1FbzMZY_f3MDiEuK7RpCQKrilJ_kpX0Wm7QBZ1L7EjIU/edit?usp=share_link"&amp;""",""ชุมพร!J109"")+IMPORTRANGE(""https://docs.google.com/spreadsheets/d/1v5sN-00LrXuhBxw4dkh2GrG_z4l5oAqOdJRBCsUyMaM/edit?usp=share_link"",""ตรัง!J109"")+IMPORTRANGE(""https://docs.google.com/spreadsheets/d/1T5rRTzFc79aSIvqnzkZNvwPstq829QYz_xALlO1Z0s8/edi"&amp;"t?usp=share_link"",""นครศรีธรรมราช!J109"")+IMPORTRANGE(""https://docs.google.com/spreadsheets/d/1BeghqumK0IvCmRd2QOy6_afsZq7ZtAGrSnVJy2u7WmY/edit?usp=share_link"",""นราธิวาส!J109"")+IMPORTRANGE(""https://docs.google.com/spreadsheets/d/1IwnW3-jjRf74MCLW-6P"&amp;"iFwMUffRQXZwZA7YM609NmRc/edit?usp=share_link"",""ปัตตานี!J109"")+IMPORTRANGE(""https://docs.google.com/spreadsheets/d/1vl4QWbWdFruual5o_wdo6ZSqXZ_it806oja4CctTLKs/edit?usp=share_link"",""พังงา!J109"")+IMPORTRANGE(""https://docs.google.com/spreadsheets/d/1"&amp;"b6QssHQp2FoAPSMKHOy273KNzAomaIKhtdlvuZ_zDNE/edit?usp=share_link"",""พัทลุง!J109"")+IMPORTRANGE(""https://docs.google.com/spreadsheets/d/1o7UZe4_OqlqtLDHrj01Z2YFRSZDf1DMy1n3XViHaxRc/edit?usp=share_link"",""ภูเก็ต!J109"")+IMPORTRANGE(""https://docs.google.c"&amp;"om/spreadsheets/d/1ctPm1vUzcUCPuOj9-eoHUD85PqINFqUB0TjdSWmR5-c/edit?usp=share_link"",""ยะลา!J109"")+IMPORTRANGE(""https://docs.google.com/spreadsheets/d/1YiDIE7Klmt8osgdapRqYWNr7iPGFSsiJqq46S7PYRE0/edit?usp=share_link"",""ระนอง!J109"")+IMPORTRANGE(""https"&amp;"://docs.google.com/spreadsheets/d/16o_4B-V7AWw_6E93bSpXj_XxVv1oVQctk-B6z1dNEWU/edit?usp=share_link"",""สงขลา!J109"")+IMPORTRANGE(""https://docs.google.com/spreadsheets/d/16cywr71Fj4fA5OGRHsZh30ZG2gwJhMAQv69oVBzYHv0/edit?usp=share_link"",""สตูล!J109"")+IMP"&amp;"ORTRANGE(""https://docs.google.com/spreadsheets/d/1vO9Sws6kMtrVtyvrAJptINXjK8TFBoX9xLYOVK_C8bQ/edit?usp=share_link"",""สุราษฎร์ธานี!J109"")"),8)</f>
        <v>8</v>
      </c>
      <c r="K109" s="37">
        <f t="shared" ref="K109:K116" ca="1" si="74">IF(I109&gt;0,J109*100/I109,0)</f>
        <v>100</v>
      </c>
      <c r="L109" s="37"/>
      <c r="M109" s="37"/>
      <c r="N109" s="37"/>
      <c r="O109" s="162"/>
      <c r="P109" s="162"/>
    </row>
    <row r="110" spans="1:16" ht="20.25" customHeight="1">
      <c r="A110" s="169"/>
      <c r="B110" s="170"/>
      <c r="C110" s="170"/>
      <c r="D110" s="177"/>
      <c r="E110" s="189" t="s">
        <v>58</v>
      </c>
      <c r="F110" s="177"/>
      <c r="G110" s="178"/>
      <c r="H110" s="35" t="s">
        <v>49</v>
      </c>
      <c r="I110" s="36">
        <f ca="1">IFERROR(__xludf.DUMMYFUNCTION("IMPORTRANGE(""https://docs.google.com/spreadsheets/d/1kC41EOXpGBFOW658Fs3oD8beYlym0-zO54WY-2Qnp9I/edit?usp=share_link"",""กระบี่!I110"")
+IMPORTRANGE(""https://docs.google.com/spreadsheets/d/1FbzMZY_f3MDiEuK7RpCQKrilJ_kpX0Wm7QBZ1L7EjIU/edit?usp=share_link"&amp;""",""ชุมพร!I110"")+IMPORTRANGE(""https://docs.google.com/spreadsheets/d/1v5sN-00LrXuhBxw4dkh2GrG_z4l5oAqOdJRBCsUyMaM/edit?usp=share_link"",""ตรัง!I110"")+IMPORTRANGE(""https://docs.google.com/spreadsheets/d/1T5rRTzFc79aSIvqnzkZNvwPstq829QYz_xALlO1Z0s8/edi"&amp;"t?usp=share_link"",""นครศรีธรรมราช!I110"")+IMPORTRANGE(""https://docs.google.com/spreadsheets/d/1BeghqumK0IvCmRd2QOy6_afsZq7ZtAGrSnVJy2u7WmY/edit?usp=share_link"",""นราธิวาส!I110"")+IMPORTRANGE(""https://docs.google.com/spreadsheets/d/1IwnW3-jjRf74MCLW-6P"&amp;"iFwMUffRQXZwZA7YM609NmRc/edit?usp=share_link"",""ปัตตานี!I110"")+IMPORTRANGE(""https://docs.google.com/spreadsheets/d/1vl4QWbWdFruual5o_wdo6ZSqXZ_it806oja4CctTLKs/edit?usp=share_link"",""พังงา!I110"")+IMPORTRANGE(""https://docs.google.com/spreadsheets/d/1"&amp;"b6QssHQp2FoAPSMKHOy273KNzAomaIKhtdlvuZ_zDNE/edit?usp=share_link"",""พัทลุง!I110"")+IMPORTRANGE(""https://docs.google.com/spreadsheets/d/1o7UZe4_OqlqtLDHrj01Z2YFRSZDf1DMy1n3XViHaxRc/edit?usp=share_link"",""ภูเก็ต!I110"")+IMPORTRANGE(""https://docs.google.c"&amp;"om/spreadsheets/d/1ctPm1vUzcUCPuOj9-eoHUD85PqINFqUB0TjdSWmR5-c/edit?usp=share_link"",""ยะลา!I110"")+IMPORTRANGE(""https://docs.google.com/spreadsheets/d/1YiDIE7Klmt8osgdapRqYWNr7iPGFSsiJqq46S7PYRE0/edit?usp=share_link"",""ระนอง!I110"")+IMPORTRANGE(""https"&amp;"://docs.google.com/spreadsheets/d/16o_4B-V7AWw_6E93bSpXj_XxVv1oVQctk-B6z1dNEWU/edit?usp=share_link"",""สงขลา!I110"")+IMPORTRANGE(""https://docs.google.com/spreadsheets/d/16cywr71Fj4fA5OGRHsZh30ZG2gwJhMAQv69oVBzYHv0/edit?usp=share_link"",""สตูล!I110"")+IMP"&amp;"ORTRANGE(""https://docs.google.com/spreadsheets/d/1vO9Sws6kMtrVtyvrAJptINXjK8TFBoX9xLYOVK_C8bQ/edit?usp=share_link"",""สุราษฎร์ธานี!I110"")"),8)</f>
        <v>8</v>
      </c>
      <c r="J110" s="182">
        <f ca="1">IFERROR(__xludf.DUMMYFUNCTION("IMPORTRANGE(""https://docs.google.com/spreadsheets/d/1kC41EOXpGBFOW658Fs3oD8beYlym0-zO54WY-2Qnp9I/edit?usp=share_link"",""กระบี่!J110"")
+IMPORTRANGE(""https://docs.google.com/spreadsheets/d/1FbzMZY_f3MDiEuK7RpCQKrilJ_kpX0Wm7QBZ1L7EjIU/edit?usp=share_link"&amp;""",""ชุมพร!J110"")+IMPORTRANGE(""https://docs.google.com/spreadsheets/d/1v5sN-00LrXuhBxw4dkh2GrG_z4l5oAqOdJRBCsUyMaM/edit?usp=share_link"",""ตรัง!J110"")+IMPORTRANGE(""https://docs.google.com/spreadsheets/d/1T5rRTzFc79aSIvqnzkZNvwPstq829QYz_xALlO1Z0s8/edi"&amp;"t?usp=share_link"",""นครศรีธรรมราช!J110"")+IMPORTRANGE(""https://docs.google.com/spreadsheets/d/1BeghqumK0IvCmRd2QOy6_afsZq7ZtAGrSnVJy2u7WmY/edit?usp=share_link"",""นราธิวาส!J110"")+IMPORTRANGE(""https://docs.google.com/spreadsheets/d/1IwnW3-jjRf74MCLW-6P"&amp;"iFwMUffRQXZwZA7YM609NmRc/edit?usp=share_link"",""ปัตตานี!J110"")+IMPORTRANGE(""https://docs.google.com/spreadsheets/d/1vl4QWbWdFruual5o_wdo6ZSqXZ_it806oja4CctTLKs/edit?usp=share_link"",""พังงา!J110"")+IMPORTRANGE(""https://docs.google.com/spreadsheets/d/1"&amp;"b6QssHQp2FoAPSMKHOy273KNzAomaIKhtdlvuZ_zDNE/edit?usp=share_link"",""พัทลุง!J110"")+IMPORTRANGE(""https://docs.google.com/spreadsheets/d/1o7UZe4_OqlqtLDHrj01Z2YFRSZDf1DMy1n3XViHaxRc/edit?usp=share_link"",""ภูเก็ต!J110"")+IMPORTRANGE(""https://docs.google.c"&amp;"om/spreadsheets/d/1ctPm1vUzcUCPuOj9-eoHUD85PqINFqUB0TjdSWmR5-c/edit?usp=share_link"",""ยะลา!J110"")+IMPORTRANGE(""https://docs.google.com/spreadsheets/d/1YiDIE7Klmt8osgdapRqYWNr7iPGFSsiJqq46S7PYRE0/edit?usp=share_link"",""ระนอง!J110"")+IMPORTRANGE(""https"&amp;"://docs.google.com/spreadsheets/d/16o_4B-V7AWw_6E93bSpXj_XxVv1oVQctk-B6z1dNEWU/edit?usp=share_link"",""สงขลา!J110"")+IMPORTRANGE(""https://docs.google.com/spreadsheets/d/16cywr71Fj4fA5OGRHsZh30ZG2gwJhMAQv69oVBzYHv0/edit?usp=share_link"",""สตูล!J110"")+IMP"&amp;"ORTRANGE(""https://docs.google.com/spreadsheets/d/1vO9Sws6kMtrVtyvrAJptINXjK8TFBoX9xLYOVK_C8bQ/edit?usp=share_link"",""สุราษฎร์ธานี!J110"")"),8)</f>
        <v>8</v>
      </c>
      <c r="K110" s="37">
        <f t="shared" ca="1" si="74"/>
        <v>100</v>
      </c>
      <c r="L110" s="37"/>
      <c r="M110" s="37"/>
      <c r="N110" s="37"/>
      <c r="O110" s="162"/>
      <c r="P110" s="162"/>
    </row>
    <row r="111" spans="1:16" ht="20.25" customHeight="1">
      <c r="A111" s="169"/>
      <c r="B111" s="170"/>
      <c r="C111" s="170"/>
      <c r="D111" s="185" t="s">
        <v>59</v>
      </c>
      <c r="E111" s="190"/>
      <c r="F111" s="177"/>
      <c r="G111" s="178"/>
      <c r="H111" s="191" t="s">
        <v>35</v>
      </c>
      <c r="I111" s="192">
        <f ca="1">IFERROR(__xludf.DUMMYFUNCTION("IMPORTRANGE(""https://docs.google.com/spreadsheets/d/1kC41EOXpGBFOW658Fs3oD8beYlym0-zO54WY-2Qnp9I/edit?usp=share_link"",""กระบี่!I111"")
+IMPORTRANGE(""https://docs.google.com/spreadsheets/d/1FbzMZY_f3MDiEuK7RpCQKrilJ_kpX0Wm7QBZ1L7EjIU/edit?usp=share_link"&amp;""",""ชุมพร!I111"")+IMPORTRANGE(""https://docs.google.com/spreadsheets/d/1v5sN-00LrXuhBxw4dkh2GrG_z4l5oAqOdJRBCsUyMaM/edit?usp=share_link"",""ตรัง!I111"")+IMPORTRANGE(""https://docs.google.com/spreadsheets/d/1T5rRTzFc79aSIvqnzkZNvwPstq829QYz_xALlO1Z0s8/edi"&amp;"t?usp=share_link"",""นครศรีธรรมราช!I111"")+IMPORTRANGE(""https://docs.google.com/spreadsheets/d/1BeghqumK0IvCmRd2QOy6_afsZq7ZtAGrSnVJy2u7WmY/edit?usp=share_link"",""นราธิวาส!I111"")+IMPORTRANGE(""https://docs.google.com/spreadsheets/d/1IwnW3-jjRf74MCLW-6P"&amp;"iFwMUffRQXZwZA7YM609NmRc/edit?usp=share_link"",""ปัตตานี!I111"")+IMPORTRANGE(""https://docs.google.com/spreadsheets/d/1vl4QWbWdFruual5o_wdo6ZSqXZ_it806oja4CctTLKs/edit?usp=share_link"",""พังงา!I111"")+IMPORTRANGE(""https://docs.google.com/spreadsheets/d/1"&amp;"b6QssHQp2FoAPSMKHOy273KNzAomaIKhtdlvuZ_zDNE/edit?usp=share_link"",""พัทลุง!I111"")+IMPORTRANGE(""https://docs.google.com/spreadsheets/d/1o7UZe4_OqlqtLDHrj01Z2YFRSZDf1DMy1n3XViHaxRc/edit?usp=share_link"",""ภูเก็ต!I111"")+IMPORTRANGE(""https://docs.google.c"&amp;"om/spreadsheets/d/1ctPm1vUzcUCPuOj9-eoHUD85PqINFqUB0TjdSWmR5-c/edit?usp=share_link"",""ยะลา!I111"")+IMPORTRANGE(""https://docs.google.com/spreadsheets/d/1YiDIE7Klmt8osgdapRqYWNr7iPGFSsiJqq46S7PYRE0/edit?usp=share_link"",""ระนอง!I111"")+IMPORTRANGE(""https"&amp;"://docs.google.com/spreadsheets/d/16o_4B-V7AWw_6E93bSpXj_XxVv1oVQctk-B6z1dNEWU/edit?usp=share_link"",""สงขลา!I111"")+IMPORTRANGE(""https://docs.google.com/spreadsheets/d/16cywr71Fj4fA5OGRHsZh30ZG2gwJhMAQv69oVBzYHv0/edit?usp=share_link"",""สตูล!I111"")+IMP"&amp;"ORTRANGE(""https://docs.google.com/spreadsheets/d/1vO9Sws6kMtrVtyvrAJptINXjK8TFBoX9xLYOVK_C8bQ/edit?usp=share_link"",""สุราษฎร์ธานี!I111"")"),95)</f>
        <v>95</v>
      </c>
      <c r="J111" s="193">
        <f ca="1">J114</f>
        <v>96</v>
      </c>
      <c r="K111" s="194">
        <f t="shared" ca="1" si="74"/>
        <v>101.05263157894737</v>
      </c>
      <c r="L111" s="37"/>
      <c r="M111" s="37"/>
      <c r="N111" s="37"/>
      <c r="O111" s="162"/>
      <c r="P111" s="162"/>
    </row>
    <row r="112" spans="1:16" ht="20.25" customHeight="1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t="shared" ref="I112:J112" ca="1" si="75">I115+I116</f>
        <v>19</v>
      </c>
      <c r="J112" s="193">
        <f t="shared" ca="1" si="75"/>
        <v>19</v>
      </c>
      <c r="K112" s="194">
        <f t="shared" ca="1" si="74"/>
        <v>100</v>
      </c>
      <c r="L112" s="37"/>
      <c r="M112" s="37"/>
      <c r="N112" s="37"/>
      <c r="O112" s="162"/>
      <c r="P112" s="162"/>
    </row>
    <row r="113" spans="1:26" ht="20.25" customHeight="1">
      <c r="A113" s="169"/>
      <c r="B113" s="170"/>
      <c r="C113" s="170"/>
      <c r="D113" s="170"/>
      <c r="E113" s="196" t="s">
        <v>60</v>
      </c>
      <c r="F113" s="177"/>
      <c r="G113" s="178"/>
      <c r="H113" s="197" t="s">
        <v>35</v>
      </c>
      <c r="I113" s="161">
        <f ca="1">IFERROR(__xludf.DUMMYFUNCTION("IMPORTRANGE(""https://docs.google.com/spreadsheets/d/1kC41EOXpGBFOW658Fs3oD8beYlym0-zO54WY-2Qnp9I/edit?usp=share_link"",""กระบี่!I113"")
+IMPORTRANGE(""https://docs.google.com/spreadsheets/d/1FbzMZY_f3MDiEuK7RpCQKrilJ_kpX0Wm7QBZ1L7EjIU/edit?usp=share_link"&amp;""",""ชุมพร!I113"")+IMPORTRANGE(""https://docs.google.com/spreadsheets/d/1v5sN-00LrXuhBxw4dkh2GrG_z4l5oAqOdJRBCsUyMaM/edit?usp=share_link"",""ตรัง!I113"")+IMPORTRANGE(""https://docs.google.com/spreadsheets/d/1T5rRTzFc79aSIvqnzkZNvwPstq829QYz_xALlO1Z0s8/edi"&amp;"t?usp=share_link"",""นครศรีธรรมราช!I113"")+IMPORTRANGE(""https://docs.google.com/spreadsheets/d/1BeghqumK0IvCmRd2QOy6_afsZq7ZtAGrSnVJy2u7WmY/edit?usp=share_link"",""นราธิวาส!I113"")+IMPORTRANGE(""https://docs.google.com/spreadsheets/d/1IwnW3-jjRf74MCLW-6P"&amp;"iFwMUffRQXZwZA7YM609NmRc/edit?usp=share_link"",""ปัตตานี!I113"")+IMPORTRANGE(""https://docs.google.com/spreadsheets/d/1vl4QWbWdFruual5o_wdo6ZSqXZ_it806oja4CctTLKs/edit?usp=share_link"",""พังงา!I113"")+IMPORTRANGE(""https://docs.google.com/spreadsheets/d/1"&amp;"b6QssHQp2FoAPSMKHOy273KNzAomaIKhtdlvuZ_zDNE/edit?usp=share_link"",""พัทลุง!I113"")+IMPORTRANGE(""https://docs.google.com/spreadsheets/d/1o7UZe4_OqlqtLDHrj01Z2YFRSZDf1DMy1n3XViHaxRc/edit?usp=share_link"",""ภูเก็ต!I113"")+IMPORTRANGE(""https://docs.google.c"&amp;"om/spreadsheets/d/1ctPm1vUzcUCPuOj9-eoHUD85PqINFqUB0TjdSWmR5-c/edit?usp=share_link"",""ยะลา!I113"")+IMPORTRANGE(""https://docs.google.com/spreadsheets/d/1YiDIE7Klmt8osgdapRqYWNr7iPGFSsiJqq46S7PYRE0/edit?usp=share_link"",""ระนอง!I113"")+IMPORTRANGE(""https"&amp;"://docs.google.com/spreadsheets/d/16o_4B-V7AWw_6E93bSpXj_XxVv1oVQctk-B6z1dNEWU/edit?usp=share_link"",""สงขลา!I113"")+IMPORTRANGE(""https://docs.google.com/spreadsheets/d/16cywr71Fj4fA5OGRHsZh30ZG2gwJhMAQv69oVBzYHv0/edit?usp=share_link"",""สตูล!I113"")+IMP"&amp;"ORTRANGE(""https://docs.google.com/spreadsheets/d/1vO9Sws6kMtrVtyvrAJptINXjK8TFBoX9xLYOVK_C8bQ/edit?usp=share_link"",""สุราษฎร์ธานี!I113"")"),95)</f>
        <v>95</v>
      </c>
      <c r="J113" s="182">
        <f ca="1">IFERROR(__xludf.DUMMYFUNCTION("IMPORTRANGE(""https://docs.google.com/spreadsheets/d/1kC41EOXpGBFOW658Fs3oD8beYlym0-zO54WY-2Qnp9I/edit?usp=share_link"",""กระบี่!J113"")
+IMPORTRANGE(""https://docs.google.com/spreadsheets/d/1FbzMZY_f3MDiEuK7RpCQKrilJ_kpX0Wm7QBZ1L7EjIU/edit?usp=share_link"&amp;""",""ชุมพร!J113"")+IMPORTRANGE(""https://docs.google.com/spreadsheets/d/1v5sN-00LrXuhBxw4dkh2GrG_z4l5oAqOdJRBCsUyMaM/edit?usp=share_link"",""ตรัง!J113"")+IMPORTRANGE(""https://docs.google.com/spreadsheets/d/1T5rRTzFc79aSIvqnzkZNvwPstq829QYz_xALlO1Z0s8/edi"&amp;"t?usp=share_link"",""นครศรีธรรมราช!J113"")+IMPORTRANGE(""https://docs.google.com/spreadsheets/d/1BeghqumK0IvCmRd2QOy6_afsZq7ZtAGrSnVJy2u7WmY/edit?usp=share_link"",""นราธิวาส!J113"")+IMPORTRANGE(""https://docs.google.com/spreadsheets/d/1IwnW3-jjRf74MCLW-6P"&amp;"iFwMUffRQXZwZA7YM609NmRc/edit?usp=share_link"",""ปัตตานี!J113"")+IMPORTRANGE(""https://docs.google.com/spreadsheets/d/1vl4QWbWdFruual5o_wdo6ZSqXZ_it806oja4CctTLKs/edit?usp=share_link"",""พังงา!J113"")+IMPORTRANGE(""https://docs.google.com/spreadsheets/d/1"&amp;"b6QssHQp2FoAPSMKHOy273KNzAomaIKhtdlvuZ_zDNE/edit?usp=share_link"",""พัทลุง!J113"")+IMPORTRANGE(""https://docs.google.com/spreadsheets/d/1o7UZe4_OqlqtLDHrj01Z2YFRSZDf1DMy1n3XViHaxRc/edit?usp=share_link"",""ภูเก็ต!J113"")+IMPORTRANGE(""https://docs.google.c"&amp;"om/spreadsheets/d/1ctPm1vUzcUCPuOj9-eoHUD85PqINFqUB0TjdSWmR5-c/edit?usp=share_link"",""ยะลา!J113"")+IMPORTRANGE(""https://docs.google.com/spreadsheets/d/1YiDIE7Klmt8osgdapRqYWNr7iPGFSsiJqq46S7PYRE0/edit?usp=share_link"",""ระนอง!J113"")+IMPORTRANGE(""https"&amp;"://docs.google.com/spreadsheets/d/16o_4B-V7AWw_6E93bSpXj_XxVv1oVQctk-B6z1dNEWU/edit?usp=share_link"",""สงขลา!J113"")+IMPORTRANGE(""https://docs.google.com/spreadsheets/d/16cywr71Fj4fA5OGRHsZh30ZG2gwJhMAQv69oVBzYHv0/edit?usp=share_link"",""สตูล!J113"")+IMP"&amp;"ORTRANGE(""https://docs.google.com/spreadsheets/d/1vO9Sws6kMtrVtyvrAJptINXjK8TFBoX9xLYOVK_C8bQ/edit?usp=share_link"",""สุราษฎร์ธานี!J113"")"),96)</f>
        <v>96</v>
      </c>
      <c r="K113" s="37">
        <f t="shared" ca="1" si="74"/>
        <v>101.05263157894737</v>
      </c>
      <c r="L113" s="37"/>
      <c r="M113" s="37"/>
      <c r="N113" s="37"/>
      <c r="O113" s="162"/>
      <c r="P113" s="162"/>
    </row>
    <row r="114" spans="1:26" ht="20.25" customHeight="1">
      <c r="A114" s="169"/>
      <c r="B114" s="170"/>
      <c r="C114" s="170"/>
      <c r="D114" s="170"/>
      <c r="E114" s="180" t="s">
        <v>61</v>
      </c>
      <c r="F114" s="177"/>
      <c r="G114" s="178"/>
      <c r="H114" s="198" t="s">
        <v>35</v>
      </c>
      <c r="I114" s="161">
        <f ca="1">IFERROR(__xludf.DUMMYFUNCTION("IMPORTRANGE(""https://docs.google.com/spreadsheets/d/1kC41EOXpGBFOW658Fs3oD8beYlym0-zO54WY-2Qnp9I/edit?usp=share_link"",""กระบี่!I114"")
+IMPORTRANGE(""https://docs.google.com/spreadsheets/d/1FbzMZY_f3MDiEuK7RpCQKrilJ_kpX0Wm7QBZ1L7EjIU/edit?usp=share_link"&amp;""",""ชุมพร!I114"")+IMPORTRANGE(""https://docs.google.com/spreadsheets/d/1v5sN-00LrXuhBxw4dkh2GrG_z4l5oAqOdJRBCsUyMaM/edit?usp=share_link"",""ตรัง!I114"")+IMPORTRANGE(""https://docs.google.com/spreadsheets/d/1T5rRTzFc79aSIvqnzkZNvwPstq829QYz_xALlO1Z0s8/edi"&amp;"t?usp=share_link"",""นครศรีธรรมราช!I114"")+IMPORTRANGE(""https://docs.google.com/spreadsheets/d/1BeghqumK0IvCmRd2QOy6_afsZq7ZtAGrSnVJy2u7WmY/edit?usp=share_link"",""นราธิวาส!I114"")+IMPORTRANGE(""https://docs.google.com/spreadsheets/d/1IwnW3-jjRf74MCLW-6P"&amp;"iFwMUffRQXZwZA7YM609NmRc/edit?usp=share_link"",""ปัตตานี!I114"")+IMPORTRANGE(""https://docs.google.com/spreadsheets/d/1vl4QWbWdFruual5o_wdo6ZSqXZ_it806oja4CctTLKs/edit?usp=share_link"",""พังงา!I114"")+IMPORTRANGE(""https://docs.google.com/spreadsheets/d/1"&amp;"b6QssHQp2FoAPSMKHOy273KNzAomaIKhtdlvuZ_zDNE/edit?usp=share_link"",""พัทลุง!I114"")+IMPORTRANGE(""https://docs.google.com/spreadsheets/d/1o7UZe4_OqlqtLDHrj01Z2YFRSZDf1DMy1n3XViHaxRc/edit?usp=share_link"",""ภูเก็ต!I114"")+IMPORTRANGE(""https://docs.google.c"&amp;"om/spreadsheets/d/1ctPm1vUzcUCPuOj9-eoHUD85PqINFqUB0TjdSWmR5-c/edit?usp=share_link"",""ยะลา!I114"")+IMPORTRANGE(""https://docs.google.com/spreadsheets/d/1YiDIE7Klmt8osgdapRqYWNr7iPGFSsiJqq46S7PYRE0/edit?usp=share_link"",""ระนอง!I114"")+IMPORTRANGE(""https"&amp;"://docs.google.com/spreadsheets/d/16o_4B-V7AWw_6E93bSpXj_XxVv1oVQctk-B6z1dNEWU/edit?usp=share_link"",""สงขลา!I114"")+IMPORTRANGE(""https://docs.google.com/spreadsheets/d/16cywr71Fj4fA5OGRHsZh30ZG2gwJhMAQv69oVBzYHv0/edit?usp=share_link"",""สตูล!I114"")+IMP"&amp;"ORTRANGE(""https://docs.google.com/spreadsheets/d/1vO9Sws6kMtrVtyvrAJptINXjK8TFBoX9xLYOVK_C8bQ/edit?usp=share_link"",""สุราษฎร์ธานี!I114"")"),95)</f>
        <v>95</v>
      </c>
      <c r="J114" s="182">
        <f ca="1">IFERROR(__xludf.DUMMYFUNCTION("IMPORTRANGE(""https://docs.google.com/spreadsheets/d/1kC41EOXpGBFOW658Fs3oD8beYlym0-zO54WY-2Qnp9I/edit?usp=share_link"",""กระบี่!J114"")
+IMPORTRANGE(""https://docs.google.com/spreadsheets/d/1FbzMZY_f3MDiEuK7RpCQKrilJ_kpX0Wm7QBZ1L7EjIU/edit?usp=share_link"&amp;""",""ชุมพร!J114"")+IMPORTRANGE(""https://docs.google.com/spreadsheets/d/1v5sN-00LrXuhBxw4dkh2GrG_z4l5oAqOdJRBCsUyMaM/edit?usp=share_link"",""ตรัง!J114"")+IMPORTRANGE(""https://docs.google.com/spreadsheets/d/1T5rRTzFc79aSIvqnzkZNvwPstq829QYz_xALlO1Z0s8/edi"&amp;"t?usp=share_link"",""นครศรีธรรมราช!J114"")+IMPORTRANGE(""https://docs.google.com/spreadsheets/d/1BeghqumK0IvCmRd2QOy6_afsZq7ZtAGrSnVJy2u7WmY/edit?usp=share_link"",""นราธิวาส!J114"")+IMPORTRANGE(""https://docs.google.com/spreadsheets/d/1IwnW3-jjRf74MCLW-6P"&amp;"iFwMUffRQXZwZA7YM609NmRc/edit?usp=share_link"",""ปัตตานี!J114"")+IMPORTRANGE(""https://docs.google.com/spreadsheets/d/1vl4QWbWdFruual5o_wdo6ZSqXZ_it806oja4CctTLKs/edit?usp=share_link"",""พังงา!J114"")+IMPORTRANGE(""https://docs.google.com/spreadsheets/d/1"&amp;"b6QssHQp2FoAPSMKHOy273KNzAomaIKhtdlvuZ_zDNE/edit?usp=share_link"",""พัทลุง!J114"")+IMPORTRANGE(""https://docs.google.com/spreadsheets/d/1o7UZe4_OqlqtLDHrj01Z2YFRSZDf1DMy1n3XViHaxRc/edit?usp=share_link"",""ภูเก็ต!J114"")+IMPORTRANGE(""https://docs.google.c"&amp;"om/spreadsheets/d/1ctPm1vUzcUCPuOj9-eoHUD85PqINFqUB0TjdSWmR5-c/edit?usp=share_link"",""ยะลา!J114"")+IMPORTRANGE(""https://docs.google.com/spreadsheets/d/1YiDIE7Klmt8osgdapRqYWNr7iPGFSsiJqq46S7PYRE0/edit?usp=share_link"",""ระนอง!J114"")+IMPORTRANGE(""https"&amp;"://docs.google.com/spreadsheets/d/16o_4B-V7AWw_6E93bSpXj_XxVv1oVQctk-B6z1dNEWU/edit?usp=share_link"",""สงขลา!J114"")+IMPORTRANGE(""https://docs.google.com/spreadsheets/d/16cywr71Fj4fA5OGRHsZh30ZG2gwJhMAQv69oVBzYHv0/edit?usp=share_link"",""สตูล!J114"")+IMP"&amp;"ORTRANGE(""https://docs.google.com/spreadsheets/d/1vO9Sws6kMtrVtyvrAJptINXjK8TFBoX9xLYOVK_C8bQ/edit?usp=share_link"",""สุราษฎร์ธานี!J114"")"),96)</f>
        <v>96</v>
      </c>
      <c r="K114" s="37">
        <f t="shared" ca="1" si="74"/>
        <v>101.05263157894737</v>
      </c>
      <c r="L114" s="37"/>
      <c r="M114" s="37"/>
      <c r="N114" s="37"/>
      <c r="O114" s="162"/>
      <c r="P114" s="162"/>
    </row>
    <row r="115" spans="1:26" ht="20.25" customHeight="1">
      <c r="A115" s="169"/>
      <c r="B115" s="170"/>
      <c r="C115" s="170"/>
      <c r="D115" s="170"/>
      <c r="E115" s="180" t="s">
        <v>62</v>
      </c>
      <c r="F115" s="177"/>
      <c r="G115" s="178"/>
      <c r="H115" s="198" t="s">
        <v>49</v>
      </c>
      <c r="I115" s="161">
        <f ca="1">IFERROR(__xludf.DUMMYFUNCTION("IMPORTRANGE(""https://docs.google.com/spreadsheets/d/1kC41EOXpGBFOW658Fs3oD8beYlym0-zO54WY-2Qnp9I/edit?usp=share_link"",""กระบี่!I115"")
+IMPORTRANGE(""https://docs.google.com/spreadsheets/d/1FbzMZY_f3MDiEuK7RpCQKrilJ_kpX0Wm7QBZ1L7EjIU/edit?usp=share_link"&amp;""",""ชุมพร!I115"")+IMPORTRANGE(""https://docs.google.com/spreadsheets/d/1v5sN-00LrXuhBxw4dkh2GrG_z4l5oAqOdJRBCsUyMaM/edit?usp=share_link"",""ตรัง!I115"")+IMPORTRANGE(""https://docs.google.com/spreadsheets/d/1T5rRTzFc79aSIvqnzkZNvwPstq829QYz_xALlO1Z0s8/edi"&amp;"t?usp=share_link"",""นครศรีธรรมราช!I115"")+IMPORTRANGE(""https://docs.google.com/spreadsheets/d/1BeghqumK0IvCmRd2QOy6_afsZq7ZtAGrSnVJy2u7WmY/edit?usp=share_link"",""นราธิวาส!I115"")+IMPORTRANGE(""https://docs.google.com/spreadsheets/d/1IwnW3-jjRf74MCLW-6P"&amp;"iFwMUffRQXZwZA7YM609NmRc/edit?usp=share_link"",""ปัตตานี!I115"")+IMPORTRANGE(""https://docs.google.com/spreadsheets/d/1vl4QWbWdFruual5o_wdo6ZSqXZ_it806oja4CctTLKs/edit?usp=share_link"",""พังงา!I115"")+IMPORTRANGE(""https://docs.google.com/spreadsheets/d/1"&amp;"b6QssHQp2FoAPSMKHOy273KNzAomaIKhtdlvuZ_zDNE/edit?usp=share_link"",""พัทลุง!I115"")+IMPORTRANGE(""https://docs.google.com/spreadsheets/d/1o7UZe4_OqlqtLDHrj01Z2YFRSZDf1DMy1n3XViHaxRc/edit?usp=share_link"",""ภูเก็ต!I115"")+IMPORTRANGE(""https://docs.google.c"&amp;"om/spreadsheets/d/1ctPm1vUzcUCPuOj9-eoHUD85PqINFqUB0TjdSWmR5-c/edit?usp=share_link"",""ยะลา!I115"")+IMPORTRANGE(""https://docs.google.com/spreadsheets/d/1YiDIE7Klmt8osgdapRqYWNr7iPGFSsiJqq46S7PYRE0/edit?usp=share_link"",""ระนอง!I115"")+IMPORTRANGE(""https"&amp;"://docs.google.com/spreadsheets/d/16o_4B-V7AWw_6E93bSpXj_XxVv1oVQctk-B6z1dNEWU/edit?usp=share_link"",""สงขลา!I115"")+IMPORTRANGE(""https://docs.google.com/spreadsheets/d/16cywr71Fj4fA5OGRHsZh30ZG2gwJhMAQv69oVBzYHv0/edit?usp=share_link"",""สตูล!I115"")+IMP"&amp;"ORTRANGE(""https://docs.google.com/spreadsheets/d/1vO9Sws6kMtrVtyvrAJptINXjK8TFBoX9xLYOVK_C8bQ/edit?usp=share_link"",""สุราษฎร์ธานี!I115"")"),11)</f>
        <v>11</v>
      </c>
      <c r="J115" s="182">
        <f ca="1">IFERROR(__xludf.DUMMYFUNCTION("IMPORTRANGE(""https://docs.google.com/spreadsheets/d/1kC41EOXpGBFOW658Fs3oD8beYlym0-zO54WY-2Qnp9I/edit?usp=share_link"",""กระบี่!J115"")
+IMPORTRANGE(""https://docs.google.com/spreadsheets/d/1FbzMZY_f3MDiEuK7RpCQKrilJ_kpX0Wm7QBZ1L7EjIU/edit?usp=share_link"&amp;""",""ชุมพร!J115"")+IMPORTRANGE(""https://docs.google.com/spreadsheets/d/1v5sN-00LrXuhBxw4dkh2GrG_z4l5oAqOdJRBCsUyMaM/edit?usp=share_link"",""ตรัง!J115"")+IMPORTRANGE(""https://docs.google.com/spreadsheets/d/1T5rRTzFc79aSIvqnzkZNvwPstq829QYz_xALlO1Z0s8/edi"&amp;"t?usp=share_link"",""นครศรีธรรมราช!J115"")+IMPORTRANGE(""https://docs.google.com/spreadsheets/d/1BeghqumK0IvCmRd2QOy6_afsZq7ZtAGrSnVJy2u7WmY/edit?usp=share_link"",""นราธิวาส!J115"")+IMPORTRANGE(""https://docs.google.com/spreadsheets/d/1IwnW3-jjRf74MCLW-6P"&amp;"iFwMUffRQXZwZA7YM609NmRc/edit?usp=share_link"",""ปัตตานี!J115"")+IMPORTRANGE(""https://docs.google.com/spreadsheets/d/1vl4QWbWdFruual5o_wdo6ZSqXZ_it806oja4CctTLKs/edit?usp=share_link"",""พังงา!J115"")+IMPORTRANGE(""https://docs.google.com/spreadsheets/d/1"&amp;"b6QssHQp2FoAPSMKHOy273KNzAomaIKhtdlvuZ_zDNE/edit?usp=share_link"",""พัทลุง!J115"")+IMPORTRANGE(""https://docs.google.com/spreadsheets/d/1o7UZe4_OqlqtLDHrj01Z2YFRSZDf1DMy1n3XViHaxRc/edit?usp=share_link"",""ภูเก็ต!J115"")+IMPORTRANGE(""https://docs.google.c"&amp;"om/spreadsheets/d/1ctPm1vUzcUCPuOj9-eoHUD85PqINFqUB0TjdSWmR5-c/edit?usp=share_link"",""ยะลา!J115"")+IMPORTRANGE(""https://docs.google.com/spreadsheets/d/1YiDIE7Klmt8osgdapRqYWNr7iPGFSsiJqq46S7PYRE0/edit?usp=share_link"",""ระนอง!J115"")+IMPORTRANGE(""https"&amp;"://docs.google.com/spreadsheets/d/16o_4B-V7AWw_6E93bSpXj_XxVv1oVQctk-B6z1dNEWU/edit?usp=share_link"",""สงขลา!J115"")+IMPORTRANGE(""https://docs.google.com/spreadsheets/d/16cywr71Fj4fA5OGRHsZh30ZG2gwJhMAQv69oVBzYHv0/edit?usp=share_link"",""สตูล!J115"")+IMP"&amp;"ORTRANGE(""https://docs.google.com/spreadsheets/d/1vO9Sws6kMtrVtyvrAJptINXjK8TFBoX9xLYOVK_C8bQ/edit?usp=share_link"",""สุราษฎร์ธานี!J115"")"),11)</f>
        <v>11</v>
      </c>
      <c r="K115" s="37">
        <f t="shared" ca="1" si="74"/>
        <v>100</v>
      </c>
      <c r="L115" s="37"/>
      <c r="M115" s="37"/>
      <c r="N115" s="37"/>
      <c r="O115" s="162"/>
      <c r="P115" s="162"/>
    </row>
    <row r="116" spans="1:26" ht="20.25" customHeight="1">
      <c r="A116" s="169"/>
      <c r="B116" s="170"/>
      <c r="C116" s="170"/>
      <c r="D116" s="170"/>
      <c r="E116" s="180" t="s">
        <v>63</v>
      </c>
      <c r="F116" s="177"/>
      <c r="G116" s="178"/>
      <c r="H116" s="198" t="s">
        <v>49</v>
      </c>
      <c r="I116" s="161">
        <f ca="1">IFERROR(__xludf.DUMMYFUNCTION("IMPORTRANGE(""https://docs.google.com/spreadsheets/d/1kC41EOXpGBFOW658Fs3oD8beYlym0-zO54WY-2Qnp9I/edit?usp=share_link"",""กระบี่!I116"")
+IMPORTRANGE(""https://docs.google.com/spreadsheets/d/1FbzMZY_f3MDiEuK7RpCQKrilJ_kpX0Wm7QBZ1L7EjIU/edit?usp=share_link"&amp;""",""ชุมพร!I116"")+IMPORTRANGE(""https://docs.google.com/spreadsheets/d/1v5sN-00LrXuhBxw4dkh2GrG_z4l5oAqOdJRBCsUyMaM/edit?usp=share_link"",""ตรัง!I116"")+IMPORTRANGE(""https://docs.google.com/spreadsheets/d/1T5rRTzFc79aSIvqnzkZNvwPstq829QYz_xALlO1Z0s8/edi"&amp;"t?usp=share_link"",""นครศรีธรรมราช!I116"")+IMPORTRANGE(""https://docs.google.com/spreadsheets/d/1BeghqumK0IvCmRd2QOy6_afsZq7ZtAGrSnVJy2u7WmY/edit?usp=share_link"",""นราธิวาส!I116"")+IMPORTRANGE(""https://docs.google.com/spreadsheets/d/1IwnW3-jjRf74MCLW-6P"&amp;"iFwMUffRQXZwZA7YM609NmRc/edit?usp=share_link"",""ปัตตานี!I116"")+IMPORTRANGE(""https://docs.google.com/spreadsheets/d/1vl4QWbWdFruual5o_wdo6ZSqXZ_it806oja4CctTLKs/edit?usp=share_link"",""พังงา!I116"")+IMPORTRANGE(""https://docs.google.com/spreadsheets/d/1"&amp;"b6QssHQp2FoAPSMKHOy273KNzAomaIKhtdlvuZ_zDNE/edit?usp=share_link"",""พัทลุง!I116"")+IMPORTRANGE(""https://docs.google.com/spreadsheets/d/1o7UZe4_OqlqtLDHrj01Z2YFRSZDf1DMy1n3XViHaxRc/edit?usp=share_link"",""ภูเก็ต!I116"")+IMPORTRANGE(""https://docs.google.c"&amp;"om/spreadsheets/d/1ctPm1vUzcUCPuOj9-eoHUD85PqINFqUB0TjdSWmR5-c/edit?usp=share_link"",""ยะลา!I116"")+IMPORTRANGE(""https://docs.google.com/spreadsheets/d/1YiDIE7Klmt8osgdapRqYWNr7iPGFSsiJqq46S7PYRE0/edit?usp=share_link"",""ระนอง!I116"")+IMPORTRANGE(""https"&amp;"://docs.google.com/spreadsheets/d/16o_4B-V7AWw_6E93bSpXj_XxVv1oVQctk-B6z1dNEWU/edit?usp=share_link"",""สงขลา!I116"")+IMPORTRANGE(""https://docs.google.com/spreadsheets/d/16cywr71Fj4fA5OGRHsZh30ZG2gwJhMAQv69oVBzYHv0/edit?usp=share_link"",""สตูล!I116"")+IMP"&amp;"ORTRANGE(""https://docs.google.com/spreadsheets/d/1vO9Sws6kMtrVtyvrAJptINXjK8TFBoX9xLYOVK_C8bQ/edit?usp=share_link"",""สุราษฎร์ธานี!I116"")"),8)</f>
        <v>8</v>
      </c>
      <c r="J116" s="182">
        <f ca="1">IFERROR(__xludf.DUMMYFUNCTION("IMPORTRANGE(""https://docs.google.com/spreadsheets/d/1kC41EOXpGBFOW658Fs3oD8beYlym0-zO54WY-2Qnp9I/edit?usp=share_link"",""กระบี่!J116"")
+IMPORTRANGE(""https://docs.google.com/spreadsheets/d/1FbzMZY_f3MDiEuK7RpCQKrilJ_kpX0Wm7QBZ1L7EjIU/edit?usp=share_link"&amp;""",""ชุมพร!J116"")+IMPORTRANGE(""https://docs.google.com/spreadsheets/d/1v5sN-00LrXuhBxw4dkh2GrG_z4l5oAqOdJRBCsUyMaM/edit?usp=share_link"",""ตรัง!J116"")+IMPORTRANGE(""https://docs.google.com/spreadsheets/d/1T5rRTzFc79aSIvqnzkZNvwPstq829QYz_xALlO1Z0s8/edi"&amp;"t?usp=share_link"",""นครศรีธรรมราช!J116"")+IMPORTRANGE(""https://docs.google.com/spreadsheets/d/1BeghqumK0IvCmRd2QOy6_afsZq7ZtAGrSnVJy2u7WmY/edit?usp=share_link"",""นราธิวาส!J116"")+IMPORTRANGE(""https://docs.google.com/spreadsheets/d/1IwnW3-jjRf74MCLW-6P"&amp;"iFwMUffRQXZwZA7YM609NmRc/edit?usp=share_link"",""ปัตตานี!J116"")+IMPORTRANGE(""https://docs.google.com/spreadsheets/d/1vl4QWbWdFruual5o_wdo6ZSqXZ_it806oja4CctTLKs/edit?usp=share_link"",""พังงา!J116"")+IMPORTRANGE(""https://docs.google.com/spreadsheets/d/1"&amp;"b6QssHQp2FoAPSMKHOy273KNzAomaIKhtdlvuZ_zDNE/edit?usp=share_link"",""พัทลุง!J116"")+IMPORTRANGE(""https://docs.google.com/spreadsheets/d/1o7UZe4_OqlqtLDHrj01Z2YFRSZDf1DMy1n3XViHaxRc/edit?usp=share_link"",""ภูเก็ต!J116"")+IMPORTRANGE(""https://docs.google.c"&amp;"om/spreadsheets/d/1ctPm1vUzcUCPuOj9-eoHUD85PqINFqUB0TjdSWmR5-c/edit?usp=share_link"",""ยะลา!J116"")+IMPORTRANGE(""https://docs.google.com/spreadsheets/d/1YiDIE7Klmt8osgdapRqYWNr7iPGFSsiJqq46S7PYRE0/edit?usp=share_link"",""ระนอง!J116"")+IMPORTRANGE(""https"&amp;"://docs.google.com/spreadsheets/d/16o_4B-V7AWw_6E93bSpXj_XxVv1oVQctk-B6z1dNEWU/edit?usp=share_link"",""สงขลา!J116"")+IMPORTRANGE(""https://docs.google.com/spreadsheets/d/16cywr71Fj4fA5OGRHsZh30ZG2gwJhMAQv69oVBzYHv0/edit?usp=share_link"",""สตูล!J116"")+IMP"&amp;"ORTRANGE(""https://docs.google.com/spreadsheets/d/1vO9Sws6kMtrVtyvrAJptINXjK8TFBoX9xLYOVK_C8bQ/edit?usp=share_link"",""สุราษฎร์ธานี!J116"")"),8)</f>
        <v>8</v>
      </c>
      <c r="K116" s="37">
        <f t="shared" ca="1" si="74"/>
        <v>100</v>
      </c>
      <c r="L116" s="37"/>
      <c r="M116" s="37"/>
      <c r="N116" s="37"/>
      <c r="O116" s="162"/>
      <c r="P116" s="162"/>
    </row>
    <row r="117" spans="1:26" ht="20.25" customHeight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20.25" customHeight="1">
      <c r="A118" s="137"/>
      <c r="B118" s="138" t="s">
        <v>65</v>
      </c>
      <c r="C118" s="203"/>
      <c r="D118" s="140"/>
      <c r="E118" s="139"/>
      <c r="F118" s="139"/>
      <c r="G118" s="141"/>
      <c r="H118" s="204" t="s">
        <v>66</v>
      </c>
      <c r="I118" s="143">
        <f ca="1">IFERROR(__xludf.DUMMYFUNCTION("IMPORTRANGE(""https://docs.google.com/spreadsheets/d/1kC41EOXpGBFOW658Fs3oD8beYlym0-zO54WY-2Qnp9I/edit?usp=share_link"",""กระบี่!I118"")
+IMPORTRANGE(""https://docs.google.com/spreadsheets/d/1FbzMZY_f3MDiEuK7RpCQKrilJ_kpX0Wm7QBZ1L7EjIU/edit?usp=share_link"&amp;""",""ชุมพร!I118"")+IMPORTRANGE(""https://docs.google.com/spreadsheets/d/1v5sN-00LrXuhBxw4dkh2GrG_z4l5oAqOdJRBCsUyMaM/edit?usp=share_link"",""ตรัง!I118"")+IMPORTRANGE(""https://docs.google.com/spreadsheets/d/1T5rRTzFc79aSIvqnzkZNvwPstq829QYz_xALlO1Z0s8/edi"&amp;"t?usp=share_link"",""นครศรีธรรมราช!I118"")+IMPORTRANGE(""https://docs.google.com/spreadsheets/d/1BeghqumK0IvCmRd2QOy6_afsZq7ZtAGrSnVJy2u7WmY/edit?usp=share_link"",""นราธิวาส!I118"")+IMPORTRANGE(""https://docs.google.com/spreadsheets/d/1IwnW3-jjRf74MCLW-6P"&amp;"iFwMUffRQXZwZA7YM609NmRc/edit?usp=share_link"",""ปัตตานี!I118"")+IMPORTRANGE(""https://docs.google.com/spreadsheets/d/1vl4QWbWdFruual5o_wdo6ZSqXZ_it806oja4CctTLKs/edit?usp=share_link"",""พังงา!I118"")+IMPORTRANGE(""https://docs.google.com/spreadsheets/d/1"&amp;"b6QssHQp2FoAPSMKHOy273KNzAomaIKhtdlvuZ_zDNE/edit?usp=share_link"",""พัทลุง!I118"")+IMPORTRANGE(""https://docs.google.com/spreadsheets/d/1o7UZe4_OqlqtLDHrj01Z2YFRSZDf1DMy1n3XViHaxRc/edit?usp=share_link"",""ภูเก็ต!I118"")+IMPORTRANGE(""https://docs.google.c"&amp;"om/spreadsheets/d/1ctPm1vUzcUCPuOj9-eoHUD85PqINFqUB0TjdSWmR5-c/edit?usp=share_link"",""ยะลา!I118"")+IMPORTRANGE(""https://docs.google.com/spreadsheets/d/1YiDIE7Klmt8osgdapRqYWNr7iPGFSsiJqq46S7PYRE0/edit?usp=share_link"",""ระนอง!I118"")+IMPORTRANGE(""https"&amp;"://docs.google.com/spreadsheets/d/16o_4B-V7AWw_6E93bSpXj_XxVv1oVQctk-B6z1dNEWU/edit?usp=share_link"",""สงขลา!I118"")+IMPORTRANGE(""https://docs.google.com/spreadsheets/d/16cywr71Fj4fA5OGRHsZh30ZG2gwJhMAQv69oVBzYHv0/edit?usp=share_link"",""สตูล!I118"")+IMP"&amp;"ORTRANGE(""https://docs.google.com/spreadsheets/d/1vO9Sws6kMtrVtyvrAJptINXjK8TFBoX9xLYOVK_C8bQ/edit?usp=share_link"",""สุราษฎร์ธานี!I118"")"),0)</f>
        <v>0</v>
      </c>
      <c r="J118" s="143">
        <f ca="1">IFERROR(__xludf.DUMMYFUNCTION("IMPORTRANGE(""https://docs.google.com/spreadsheets/d/1kC41EOXpGBFOW658Fs3oD8beYlym0-zO54WY-2Qnp9I/edit?usp=share_link"",""กระบี่!J118"")
+IMPORTRANGE(""https://docs.google.com/spreadsheets/d/1FbzMZY_f3MDiEuK7RpCQKrilJ_kpX0Wm7QBZ1L7EjIU/edit?usp=share_link"&amp;""",""ชุมพร!J118"")+IMPORTRANGE(""https://docs.google.com/spreadsheets/d/1v5sN-00LrXuhBxw4dkh2GrG_z4l5oAqOdJRBCsUyMaM/edit?usp=share_link"",""ตรัง!J118"")+IMPORTRANGE(""https://docs.google.com/spreadsheets/d/1T5rRTzFc79aSIvqnzkZNvwPstq829QYz_xALlO1Z0s8/edi"&amp;"t?usp=share_link"",""นครศรีธรรมราช!J118"")+IMPORTRANGE(""https://docs.google.com/spreadsheets/d/1BeghqumK0IvCmRd2QOy6_afsZq7ZtAGrSnVJy2u7WmY/edit?usp=share_link"",""นราธิวาส!J118"")+IMPORTRANGE(""https://docs.google.com/spreadsheets/d/1IwnW3-jjRf74MCLW-6P"&amp;"iFwMUffRQXZwZA7YM609NmRc/edit?usp=share_link"",""ปัตตานี!J118"")+IMPORTRANGE(""https://docs.google.com/spreadsheets/d/1vl4QWbWdFruual5o_wdo6ZSqXZ_it806oja4CctTLKs/edit?usp=share_link"",""พังงา!J118"")+IMPORTRANGE(""https://docs.google.com/spreadsheets/d/1"&amp;"b6QssHQp2FoAPSMKHOy273KNzAomaIKhtdlvuZ_zDNE/edit?usp=share_link"",""พัทลุง!J118"")+IMPORTRANGE(""https://docs.google.com/spreadsheets/d/1o7UZe4_OqlqtLDHrj01Z2YFRSZDf1DMy1n3XViHaxRc/edit?usp=share_link"",""ภูเก็ต!J118"")+IMPORTRANGE(""https://docs.google.c"&amp;"om/spreadsheets/d/1ctPm1vUzcUCPuOj9-eoHUD85PqINFqUB0TjdSWmR5-c/edit?usp=share_link"",""ยะลา!J118"")+IMPORTRANGE(""https://docs.google.com/spreadsheets/d/1YiDIE7Klmt8osgdapRqYWNr7iPGFSsiJqq46S7PYRE0/edit?usp=share_link"",""ระนอง!J118"")+IMPORTRANGE(""https"&amp;"://docs.google.com/spreadsheets/d/16o_4B-V7AWw_6E93bSpXj_XxVv1oVQctk-B6z1dNEWU/edit?usp=share_link"",""สงขลา!J118"")+IMPORTRANGE(""https://docs.google.com/spreadsheets/d/16cywr71Fj4fA5OGRHsZh30ZG2gwJhMAQv69oVBzYHv0/edit?usp=share_link"",""สตูล!J118"")+IMP"&amp;"ORTRANGE(""https://docs.google.com/spreadsheets/d/1vO9Sws6kMtrVtyvrAJptINXjK8TFBoX9xLYOVK_C8bQ/edit?usp=share_link"",""สุราษฎร์ธานี!J118"")"),0)</f>
        <v>0</v>
      </c>
      <c r="K118" s="144">
        <f ca="1">IF(I118&gt;0,J118*100/I118,0)</f>
        <v>0</v>
      </c>
      <c r="L118" s="145"/>
      <c r="M118" s="145"/>
      <c r="N118" s="145"/>
      <c r="O118" s="145"/>
      <c r="P118" s="145"/>
    </row>
    <row r="119" spans="1:26" ht="20.25" customHeight="1">
      <c r="A119" s="146"/>
      <c r="B119" s="147"/>
      <c r="C119" s="148" t="s">
        <v>16</v>
      </c>
      <c r="D119" s="149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76">L120+L121</f>
        <v>42000</v>
      </c>
      <c r="M119" s="154">
        <f t="shared" ca="1" si="76"/>
        <v>42000</v>
      </c>
      <c r="N119" s="154">
        <f t="shared" ca="1" si="76"/>
        <v>42000</v>
      </c>
      <c r="O119" s="154">
        <f t="shared" ref="O119:O127" ca="1" si="77">IF(L119&gt;0,N119*100/L119,0)</f>
        <v>100</v>
      </c>
      <c r="P119" s="154">
        <f t="shared" ref="P119:P127" ca="1" si="78">IF(M119&gt;0,N119*100/M119,0)</f>
        <v>100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20.25" hidden="1" customHeight="1">
      <c r="A120" s="155"/>
      <c r="B120" s="39"/>
      <c r="C120" s="39"/>
      <c r="D120" s="39"/>
      <c r="E120" s="40" t="s">
        <v>18</v>
      </c>
      <c r="F120" s="39"/>
      <c r="G120" s="156"/>
      <c r="H120" s="157" t="s">
        <v>12</v>
      </c>
      <c r="I120" s="43"/>
      <c r="J120" s="43"/>
      <c r="K120" s="44"/>
      <c r="L120" s="44">
        <f t="shared" ref="L120:N120" si="79">L123+L126</f>
        <v>0</v>
      </c>
      <c r="M120" s="44">
        <f t="shared" si="79"/>
        <v>0</v>
      </c>
      <c r="N120" s="44">
        <f t="shared" si="79"/>
        <v>0</v>
      </c>
      <c r="O120" s="44">
        <f t="shared" si="77"/>
        <v>0</v>
      </c>
      <c r="P120" s="44">
        <f t="shared" si="78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20.25" hidden="1" customHeight="1">
      <c r="A121" s="155"/>
      <c r="B121" s="39"/>
      <c r="C121" s="39"/>
      <c r="D121" s="39"/>
      <c r="E121" s="40" t="s">
        <v>19</v>
      </c>
      <c r="F121" s="39"/>
      <c r="G121" s="156"/>
      <c r="H121" s="157" t="s">
        <v>12</v>
      </c>
      <c r="I121" s="43"/>
      <c r="J121" s="43"/>
      <c r="K121" s="44"/>
      <c r="L121" s="44">
        <f t="shared" ref="L121:N121" ca="1" si="80">L124+L127</f>
        <v>42000</v>
      </c>
      <c r="M121" s="44">
        <f t="shared" ca="1" si="80"/>
        <v>42000</v>
      </c>
      <c r="N121" s="44">
        <f t="shared" ca="1" si="80"/>
        <v>42000</v>
      </c>
      <c r="O121" s="44">
        <f t="shared" ca="1" si="77"/>
        <v>100</v>
      </c>
      <c r="P121" s="44">
        <f t="shared" ca="1" si="78"/>
        <v>100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20.25" customHeight="1">
      <c r="A122" s="158"/>
      <c r="B122" s="32"/>
      <c r="C122" s="159"/>
      <c r="D122" s="33" t="s">
        <v>20</v>
      </c>
      <c r="E122" s="32"/>
      <c r="F122" s="32"/>
      <c r="G122" s="34"/>
      <c r="H122" s="160" t="s">
        <v>12</v>
      </c>
      <c r="I122" s="161"/>
      <c r="J122" s="161"/>
      <c r="K122" s="162"/>
      <c r="L122" s="37">
        <f t="shared" ref="L122:N122" ca="1" si="81">L123+L124</f>
        <v>0</v>
      </c>
      <c r="M122" s="37">
        <f t="shared" ca="1" si="81"/>
        <v>0</v>
      </c>
      <c r="N122" s="37">
        <f t="shared" ca="1" si="81"/>
        <v>0</v>
      </c>
      <c r="O122" s="37">
        <f t="shared" ca="1" si="77"/>
        <v>0</v>
      </c>
      <c r="P122" s="37">
        <f t="shared" ca="1" si="78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20.25" hidden="1" customHeight="1">
      <c r="A123" s="155"/>
      <c r="B123" s="39"/>
      <c r="C123" s="205"/>
      <c r="D123" s="39"/>
      <c r="E123" s="40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44">
        <f t="shared" si="77"/>
        <v>0</v>
      </c>
      <c r="P123" s="44">
        <f t="shared" si="78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20.25" hidden="1" customHeight="1">
      <c r="A124" s="155"/>
      <c r="B124" s="39"/>
      <c r="C124" s="205"/>
      <c r="D124" s="39"/>
      <c r="E124" s="40" t="s">
        <v>37</v>
      </c>
      <c r="F124" s="39"/>
      <c r="G124" s="156"/>
      <c r="H124" s="164" t="s">
        <v>12</v>
      </c>
      <c r="I124" s="165"/>
      <c r="J124" s="165"/>
      <c r="K124" s="166"/>
      <c r="L124" s="44">
        <f ca="1">IFERROR(__xludf.DUMMYFUNCTION("IMPORTRANGE(""https://docs.google.com/spreadsheets/d/1kC41EOXpGBFOW658Fs3oD8beYlym0-zO54WY-2Qnp9I/edit?usp=share_link"",""กระบี่!L124"")
+IMPORTRANGE(""https://docs.google.com/spreadsheets/d/1FbzMZY_f3MDiEuK7RpCQKrilJ_kpX0Wm7QBZ1L7EjIU/edit?usp=share_link"&amp;""",""ชุมพร!L124"")+IMPORTRANGE(""https://docs.google.com/spreadsheets/d/1v5sN-00LrXuhBxw4dkh2GrG_z4l5oAqOdJRBCsUyMaM/edit?usp=share_link"",""ตรัง!L124"")+IMPORTRANGE(""https://docs.google.com/spreadsheets/d/1T5rRTzFc79aSIvqnzkZNvwPstq829QYz_xALlO1Z0s8/edi"&amp;"t?usp=share_link"",""นครศรีธรรมราช!L124"")+IMPORTRANGE(""https://docs.google.com/spreadsheets/d/1BeghqumK0IvCmRd2QOy6_afsZq7ZtAGrSnVJy2u7WmY/edit?usp=share_link"",""นราธิวาส!L124"")+IMPORTRANGE(""https://docs.google.com/spreadsheets/d/1IwnW3-jjRf74MCLW-6P"&amp;"iFwMUffRQXZwZA7YM609NmRc/edit?usp=share_link"",""ปัตตานี!L124"")+IMPORTRANGE(""https://docs.google.com/spreadsheets/d/1vl4QWbWdFruual5o_wdo6ZSqXZ_it806oja4CctTLKs/edit?usp=share_link"",""พังงา!L124"")+IMPORTRANGE(""https://docs.google.com/spreadsheets/d/1"&amp;"b6QssHQp2FoAPSMKHOy273KNzAomaIKhtdlvuZ_zDNE/edit?usp=share_link"",""พัทลุง!L124"")+IMPORTRANGE(""https://docs.google.com/spreadsheets/d/1o7UZe4_OqlqtLDHrj01Z2YFRSZDf1DMy1n3XViHaxRc/edit?usp=share_link"",""ภูเก็ต!L124"")+IMPORTRANGE(""https://docs.google.c"&amp;"om/spreadsheets/d/1ctPm1vUzcUCPuOj9-eoHUD85PqINFqUB0TjdSWmR5-c/edit?usp=share_link"",""ยะลา!L124"")+IMPORTRANGE(""https://docs.google.com/spreadsheets/d/1YiDIE7Klmt8osgdapRqYWNr7iPGFSsiJqq46S7PYRE0/edit?usp=share_link"",""ระนอง!L124"")+IMPORTRANGE(""https"&amp;"://docs.google.com/spreadsheets/d/16o_4B-V7AWw_6E93bSpXj_XxVv1oVQctk-B6z1dNEWU/edit?usp=share_link"",""สงขลา!L124"")+IMPORTRANGE(""https://docs.google.com/spreadsheets/d/16cywr71Fj4fA5OGRHsZh30ZG2gwJhMAQv69oVBzYHv0/edit?usp=share_link"",""สตูล!L124"")+IMP"&amp;"ORTRANGE(""https://docs.google.com/spreadsheets/d/1vO9Sws6kMtrVtyvrAJptINXjK8TFBoX9xLYOVK_C8bQ/edit?usp=share_link"",""สุราษฎร์ธานี!L124"")"),0)</f>
        <v>0</v>
      </c>
      <c r="M124" s="44">
        <f ca="1">IFERROR(__xludf.DUMMYFUNCTION("IMPORTRANGE(""https://docs.google.com/spreadsheets/d/1kC41EOXpGBFOW658Fs3oD8beYlym0-zO54WY-2Qnp9I/edit?usp=share_link"",""กระบี่!M124"")
+IMPORTRANGE(""https://docs.google.com/spreadsheets/d/1FbzMZY_f3MDiEuK7RpCQKrilJ_kpX0Wm7QBZ1L7EjIU/edit?usp=share_link"&amp;""",""ชุมพร!M124"")+IMPORTRANGE(""https://docs.google.com/spreadsheets/d/1v5sN-00LrXuhBxw4dkh2GrG_z4l5oAqOdJRBCsUyMaM/edit?usp=share_link"",""ตรัง!M124"")+IMPORTRANGE(""https://docs.google.com/spreadsheets/d/1T5rRTzFc79aSIvqnzkZNvwPstq829QYz_xALlO1Z0s8/edi"&amp;"t?usp=share_link"",""นครศรีธรรมราช!M124"")+IMPORTRANGE(""https://docs.google.com/spreadsheets/d/1BeghqumK0IvCmRd2QOy6_afsZq7ZtAGrSnVJy2u7WmY/edit?usp=share_link"",""นราธิวาส!M124"")+IMPORTRANGE(""https://docs.google.com/spreadsheets/d/1IwnW3-jjRf74MCLW-6P"&amp;"iFwMUffRQXZwZA7YM609NmRc/edit?usp=share_link"",""ปัตตานี!M124"")+IMPORTRANGE(""https://docs.google.com/spreadsheets/d/1vl4QWbWdFruual5o_wdo6ZSqXZ_it806oja4CctTLKs/edit?usp=share_link"",""พังงา!M124"")+IMPORTRANGE(""https://docs.google.com/spreadsheets/d/1"&amp;"b6QssHQp2FoAPSMKHOy273KNzAomaIKhtdlvuZ_zDNE/edit?usp=share_link"",""พัทลุง!M124"")+IMPORTRANGE(""https://docs.google.com/spreadsheets/d/1o7UZe4_OqlqtLDHrj01Z2YFRSZDf1DMy1n3XViHaxRc/edit?usp=share_link"",""ภูเก็ต!M124"")+IMPORTRANGE(""https://docs.google.c"&amp;"om/spreadsheets/d/1ctPm1vUzcUCPuOj9-eoHUD85PqINFqUB0TjdSWmR5-c/edit?usp=share_link"",""ยะลา!M124"")+IMPORTRANGE(""https://docs.google.com/spreadsheets/d/1YiDIE7Klmt8osgdapRqYWNr7iPGFSsiJqq46S7PYRE0/edit?usp=share_link"",""ระนอง!M124"")+IMPORTRANGE(""https"&amp;"://docs.google.com/spreadsheets/d/16o_4B-V7AWw_6E93bSpXj_XxVv1oVQctk-B6z1dNEWU/edit?usp=share_link"",""สงขลา!M124"")+IMPORTRANGE(""https://docs.google.com/spreadsheets/d/16cywr71Fj4fA5OGRHsZh30ZG2gwJhMAQv69oVBzYHv0/edit?usp=share_link"",""สตูล!M124"")+IMP"&amp;"ORTRANGE(""https://docs.google.com/spreadsheets/d/1vO9Sws6kMtrVtyvrAJptINXjK8TFBoX9xLYOVK_C8bQ/edit?usp=share_link"",""สุราษฎร์ธานี!M124"")"),0)</f>
        <v>0</v>
      </c>
      <c r="N124" s="44">
        <f ca="1">IFERROR(__xludf.DUMMYFUNCTION("IMPORTRANGE(""https://docs.google.com/spreadsheets/d/1kC41EOXpGBFOW658Fs3oD8beYlym0-zO54WY-2Qnp9I/edit?usp=share_link"",""กระบี่!N124"")
+IMPORTRANGE(""https://docs.google.com/spreadsheets/d/1FbzMZY_f3MDiEuK7RpCQKrilJ_kpX0Wm7QBZ1L7EjIU/edit?usp=share_link"&amp;""",""ชุมพร!N124"")+IMPORTRANGE(""https://docs.google.com/spreadsheets/d/1v5sN-00LrXuhBxw4dkh2GrG_z4l5oAqOdJRBCsUyMaM/edit?usp=share_link"",""ตรัง!N124"")+IMPORTRANGE(""https://docs.google.com/spreadsheets/d/1T5rRTzFc79aSIvqnzkZNvwPstq829QYz_xALlO1Z0s8/edi"&amp;"t?usp=share_link"",""นครศรีธรรมราช!N124"")+IMPORTRANGE(""https://docs.google.com/spreadsheets/d/1BeghqumK0IvCmRd2QOy6_afsZq7ZtAGrSnVJy2u7WmY/edit?usp=share_link"",""นราธิวาส!N124"")+IMPORTRANGE(""https://docs.google.com/spreadsheets/d/1IwnW3-jjRf74MCLW-6P"&amp;"iFwMUffRQXZwZA7YM609NmRc/edit?usp=share_link"",""ปัตตานี!N124"")+IMPORTRANGE(""https://docs.google.com/spreadsheets/d/1vl4QWbWdFruual5o_wdo6ZSqXZ_it806oja4CctTLKs/edit?usp=share_link"",""พังงา!N124"")+IMPORTRANGE(""https://docs.google.com/spreadsheets/d/1"&amp;"b6QssHQp2FoAPSMKHOy273KNzAomaIKhtdlvuZ_zDNE/edit?usp=share_link"",""พัทลุง!N124"")+IMPORTRANGE(""https://docs.google.com/spreadsheets/d/1o7UZe4_OqlqtLDHrj01Z2YFRSZDf1DMy1n3XViHaxRc/edit?usp=share_link"",""ภูเก็ต!N124"")+IMPORTRANGE(""https://docs.google.c"&amp;"om/spreadsheets/d/1ctPm1vUzcUCPuOj9-eoHUD85PqINFqUB0TjdSWmR5-c/edit?usp=share_link"",""ยะลา!N124"")+IMPORTRANGE(""https://docs.google.com/spreadsheets/d/1YiDIE7Klmt8osgdapRqYWNr7iPGFSsiJqq46S7PYRE0/edit?usp=share_link"",""ระนอง!N124"")+IMPORTRANGE(""https"&amp;"://docs.google.com/spreadsheets/d/16o_4B-V7AWw_6E93bSpXj_XxVv1oVQctk-B6z1dNEWU/edit?usp=share_link"",""สงขลา!N124"")+IMPORTRANGE(""https://docs.google.com/spreadsheets/d/16cywr71Fj4fA5OGRHsZh30ZG2gwJhMAQv69oVBzYHv0/edit?usp=share_link"",""สตูล!N124"")+IMP"&amp;"ORTRANGE(""https://docs.google.com/spreadsheets/d/1vO9Sws6kMtrVtyvrAJptINXjK8TFBoX9xLYOVK_C8bQ/edit?usp=share_link"",""สุราษฎร์ธานี!N124"")"),0)</f>
        <v>0</v>
      </c>
      <c r="O124" s="44">
        <f t="shared" ca="1" si="77"/>
        <v>0</v>
      </c>
      <c r="P124" s="44">
        <f t="shared" ca="1" si="78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20.25" customHeight="1">
      <c r="A125" s="158"/>
      <c r="B125" s="32"/>
      <c r="C125" s="159"/>
      <c r="D125" s="33" t="s">
        <v>21</v>
      </c>
      <c r="E125" s="32"/>
      <c r="F125" s="32"/>
      <c r="G125" s="34"/>
      <c r="H125" s="167" t="s">
        <v>12</v>
      </c>
      <c r="I125" s="161"/>
      <c r="J125" s="161"/>
      <c r="K125" s="162"/>
      <c r="L125" s="37">
        <f t="shared" ref="L125:N125" ca="1" si="82">L126+L127</f>
        <v>42000</v>
      </c>
      <c r="M125" s="37">
        <f t="shared" ca="1" si="82"/>
        <v>42000</v>
      </c>
      <c r="N125" s="37">
        <f t="shared" ca="1" si="82"/>
        <v>42000</v>
      </c>
      <c r="O125" s="37">
        <f t="shared" ca="1" si="77"/>
        <v>100</v>
      </c>
      <c r="P125" s="37">
        <f t="shared" ca="1" si="78"/>
        <v>100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20.25" hidden="1" customHeight="1">
      <c r="A126" s="155"/>
      <c r="B126" s="39"/>
      <c r="C126" s="163"/>
      <c r="D126" s="39"/>
      <c r="E126" s="40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44">
        <f t="shared" si="77"/>
        <v>0</v>
      </c>
      <c r="P126" s="44">
        <f t="shared" si="78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20.25" hidden="1" customHeight="1">
      <c r="A127" s="155"/>
      <c r="B127" s="39"/>
      <c r="C127" s="163"/>
      <c r="D127" s="39"/>
      <c r="E127" s="40" t="s">
        <v>19</v>
      </c>
      <c r="F127" s="39"/>
      <c r="G127" s="156"/>
      <c r="H127" s="168" t="s">
        <v>12</v>
      </c>
      <c r="I127" s="165"/>
      <c r="J127" s="165"/>
      <c r="K127" s="166"/>
      <c r="L127" s="44">
        <f ca="1">IFERROR(__xludf.DUMMYFUNCTION("IMPORTRANGE(""https://docs.google.com/spreadsheets/d/1kC41EOXpGBFOW658Fs3oD8beYlym0-zO54WY-2Qnp9I/edit?usp=share_link"",""กระบี่!L127"")
+IMPORTRANGE(""https://docs.google.com/spreadsheets/d/1FbzMZY_f3MDiEuK7RpCQKrilJ_kpX0Wm7QBZ1L7EjIU/edit?usp=share_link"&amp;""",""ชุมพร!L127"")+IMPORTRANGE(""https://docs.google.com/spreadsheets/d/1v5sN-00LrXuhBxw4dkh2GrG_z4l5oAqOdJRBCsUyMaM/edit?usp=share_link"",""ตรัง!L127"")+IMPORTRANGE(""https://docs.google.com/spreadsheets/d/1T5rRTzFc79aSIvqnzkZNvwPstq829QYz_xALlO1Z0s8/edi"&amp;"t?usp=share_link"",""นครศรีธรรมราช!L127"")+IMPORTRANGE(""https://docs.google.com/spreadsheets/d/1BeghqumK0IvCmRd2QOy6_afsZq7ZtAGrSnVJy2u7WmY/edit?usp=share_link"",""นราธิวาส!L127"")+IMPORTRANGE(""https://docs.google.com/spreadsheets/d/1IwnW3-jjRf74MCLW-6P"&amp;"iFwMUffRQXZwZA7YM609NmRc/edit?usp=share_link"",""ปัตตานี!L127"")+IMPORTRANGE(""https://docs.google.com/spreadsheets/d/1vl4QWbWdFruual5o_wdo6ZSqXZ_it806oja4CctTLKs/edit?usp=share_link"",""พังงา!L127"")+IMPORTRANGE(""https://docs.google.com/spreadsheets/d/1"&amp;"b6QssHQp2FoAPSMKHOy273KNzAomaIKhtdlvuZ_zDNE/edit?usp=share_link"",""พัทลุง!L127"")+IMPORTRANGE(""https://docs.google.com/spreadsheets/d/1o7UZe4_OqlqtLDHrj01Z2YFRSZDf1DMy1n3XViHaxRc/edit?usp=share_link"",""ภูเก็ต!L127"")+IMPORTRANGE(""https://docs.google.c"&amp;"om/spreadsheets/d/1ctPm1vUzcUCPuOj9-eoHUD85PqINFqUB0TjdSWmR5-c/edit?usp=share_link"",""ยะลา!L127"")+IMPORTRANGE(""https://docs.google.com/spreadsheets/d/1YiDIE7Klmt8osgdapRqYWNr7iPGFSsiJqq46S7PYRE0/edit?usp=share_link"",""ระนอง!L127"")+IMPORTRANGE(""https"&amp;"://docs.google.com/spreadsheets/d/16o_4B-V7AWw_6E93bSpXj_XxVv1oVQctk-B6z1dNEWU/edit?usp=share_link"",""สงขลา!L127"")+IMPORTRANGE(""https://docs.google.com/spreadsheets/d/16cywr71Fj4fA5OGRHsZh30ZG2gwJhMAQv69oVBzYHv0/edit?usp=share_link"",""สตูล!L127"")+IMP"&amp;"ORTRANGE(""https://docs.google.com/spreadsheets/d/1vO9Sws6kMtrVtyvrAJptINXjK8TFBoX9xLYOVK_C8bQ/edit?usp=share_link"",""สุราษฎร์ธานี!L127"")"),42000)</f>
        <v>42000</v>
      </c>
      <c r="M127" s="44">
        <f ca="1">IFERROR(__xludf.DUMMYFUNCTION("IMPORTRANGE(""https://docs.google.com/spreadsheets/d/1kC41EOXpGBFOW658Fs3oD8beYlym0-zO54WY-2Qnp9I/edit?usp=share_link"",""กระบี่!M127"")
+IMPORTRANGE(""https://docs.google.com/spreadsheets/d/1FbzMZY_f3MDiEuK7RpCQKrilJ_kpX0Wm7QBZ1L7EjIU/edit?usp=share_link"&amp;""",""ชุมพร!M127"")+IMPORTRANGE(""https://docs.google.com/spreadsheets/d/1v5sN-00LrXuhBxw4dkh2GrG_z4l5oAqOdJRBCsUyMaM/edit?usp=share_link"",""ตรัง!M127"")+IMPORTRANGE(""https://docs.google.com/spreadsheets/d/1T5rRTzFc79aSIvqnzkZNvwPstq829QYz_xALlO1Z0s8/edi"&amp;"t?usp=share_link"",""นครศรีธรรมราช!M127"")+IMPORTRANGE(""https://docs.google.com/spreadsheets/d/1BeghqumK0IvCmRd2QOy6_afsZq7ZtAGrSnVJy2u7WmY/edit?usp=share_link"",""นราธิวาส!M127"")+IMPORTRANGE(""https://docs.google.com/spreadsheets/d/1IwnW3-jjRf74MCLW-6P"&amp;"iFwMUffRQXZwZA7YM609NmRc/edit?usp=share_link"",""ปัตตานี!M127"")+IMPORTRANGE(""https://docs.google.com/spreadsheets/d/1vl4QWbWdFruual5o_wdo6ZSqXZ_it806oja4CctTLKs/edit?usp=share_link"",""พังงา!M127"")+IMPORTRANGE(""https://docs.google.com/spreadsheets/d/1"&amp;"b6QssHQp2FoAPSMKHOy273KNzAomaIKhtdlvuZ_zDNE/edit?usp=share_link"",""พัทลุง!M127"")+IMPORTRANGE(""https://docs.google.com/spreadsheets/d/1o7UZe4_OqlqtLDHrj01Z2YFRSZDf1DMy1n3XViHaxRc/edit?usp=share_link"",""ภูเก็ต!M127"")+IMPORTRANGE(""https://docs.google.c"&amp;"om/spreadsheets/d/1ctPm1vUzcUCPuOj9-eoHUD85PqINFqUB0TjdSWmR5-c/edit?usp=share_link"",""ยะลา!M127"")+IMPORTRANGE(""https://docs.google.com/spreadsheets/d/1YiDIE7Klmt8osgdapRqYWNr7iPGFSsiJqq46S7PYRE0/edit?usp=share_link"",""ระนอง!M127"")+IMPORTRANGE(""https"&amp;"://docs.google.com/spreadsheets/d/16o_4B-V7AWw_6E93bSpXj_XxVv1oVQctk-B6z1dNEWU/edit?usp=share_link"",""สงขลา!M127"")+IMPORTRANGE(""https://docs.google.com/spreadsheets/d/16cywr71Fj4fA5OGRHsZh30ZG2gwJhMAQv69oVBzYHv0/edit?usp=share_link"",""สตูล!M127"")+IMP"&amp;"ORTRANGE(""https://docs.google.com/spreadsheets/d/1vO9Sws6kMtrVtyvrAJptINXjK8TFBoX9xLYOVK_C8bQ/edit?usp=share_link"",""สุราษฎร์ธานี!M127"")"),42000)</f>
        <v>42000</v>
      </c>
      <c r="N127" s="44">
        <f ca="1">IFERROR(__xludf.DUMMYFUNCTION("IMPORTRANGE(""https://docs.google.com/spreadsheets/d/1kC41EOXpGBFOW658Fs3oD8beYlym0-zO54WY-2Qnp9I/edit?usp=share_link"",""กระบี่!N127"")
+IMPORTRANGE(""https://docs.google.com/spreadsheets/d/1FbzMZY_f3MDiEuK7RpCQKrilJ_kpX0Wm7QBZ1L7EjIU/edit?usp=share_link"&amp;""",""ชุมพร!N127"")+IMPORTRANGE(""https://docs.google.com/spreadsheets/d/1v5sN-00LrXuhBxw4dkh2GrG_z4l5oAqOdJRBCsUyMaM/edit?usp=share_link"",""ตรัง!N127"")+IMPORTRANGE(""https://docs.google.com/spreadsheets/d/1T5rRTzFc79aSIvqnzkZNvwPstq829QYz_xALlO1Z0s8/edi"&amp;"t?usp=share_link"",""นครศรีธรรมราช!N127"")+IMPORTRANGE(""https://docs.google.com/spreadsheets/d/1BeghqumK0IvCmRd2QOy6_afsZq7ZtAGrSnVJy2u7WmY/edit?usp=share_link"",""นราธิวาส!N127"")+IMPORTRANGE(""https://docs.google.com/spreadsheets/d/1IwnW3-jjRf74MCLW-6P"&amp;"iFwMUffRQXZwZA7YM609NmRc/edit?usp=share_link"",""ปัตตานี!N127"")+IMPORTRANGE(""https://docs.google.com/spreadsheets/d/1vl4QWbWdFruual5o_wdo6ZSqXZ_it806oja4CctTLKs/edit?usp=share_link"",""พังงา!N127"")+IMPORTRANGE(""https://docs.google.com/spreadsheets/d/1"&amp;"b6QssHQp2FoAPSMKHOy273KNzAomaIKhtdlvuZ_zDNE/edit?usp=share_link"",""พัทลุง!N127"")+IMPORTRANGE(""https://docs.google.com/spreadsheets/d/1o7UZe4_OqlqtLDHrj01Z2YFRSZDf1DMy1n3XViHaxRc/edit?usp=share_link"",""ภูเก็ต!N127"")+IMPORTRANGE(""https://docs.google.c"&amp;"om/spreadsheets/d/1ctPm1vUzcUCPuOj9-eoHUD85PqINFqUB0TjdSWmR5-c/edit?usp=share_link"",""ยะลา!N127"")+IMPORTRANGE(""https://docs.google.com/spreadsheets/d/1YiDIE7Klmt8osgdapRqYWNr7iPGFSsiJqq46S7PYRE0/edit?usp=share_link"",""ระนอง!N127"")+IMPORTRANGE(""https"&amp;"://docs.google.com/spreadsheets/d/16o_4B-V7AWw_6E93bSpXj_XxVv1oVQctk-B6z1dNEWU/edit?usp=share_link"",""สงขลา!N127"")+IMPORTRANGE(""https://docs.google.com/spreadsheets/d/16cywr71Fj4fA5OGRHsZh30ZG2gwJhMAQv69oVBzYHv0/edit?usp=share_link"",""สตูล!N127"")+IMP"&amp;"ORTRANGE(""https://docs.google.com/spreadsheets/d/1vO9Sws6kMtrVtyvrAJptINXjK8TFBoX9xLYOVK_C8bQ/edit?usp=share_link"",""สุราษฎร์ธานี!N127"")"),42000)</f>
        <v>42000</v>
      </c>
      <c r="O127" s="44">
        <f t="shared" ca="1" si="77"/>
        <v>100</v>
      </c>
      <c r="P127" s="44">
        <f t="shared" ca="1" si="78"/>
        <v>100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20.25" customHeight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20.25" customHeight="1">
      <c r="A129" s="137"/>
      <c r="B129" s="13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20.25" customHeight="1">
      <c r="A130" s="137"/>
      <c r="B130" s="208"/>
      <c r="C130" s="209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83">I146</f>
        <v>9</v>
      </c>
      <c r="J130" s="143">
        <f t="shared" ca="1" si="83"/>
        <v>9</v>
      </c>
      <c r="K130" s="144">
        <f t="shared" ref="K130:K131" ca="1" si="84">IF(I130&gt;0,J130*100/I130,0)</f>
        <v>100</v>
      </c>
      <c r="L130" s="145"/>
      <c r="M130" s="145"/>
      <c r="N130" s="145"/>
      <c r="O130" s="145"/>
      <c r="P130" s="145"/>
    </row>
    <row r="131" spans="1:26" ht="20.25" customHeight="1">
      <c r="A131" s="137"/>
      <c r="B131" s="208"/>
      <c r="C131" s="209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85">I143</f>
        <v>90</v>
      </c>
      <c r="J131" s="143">
        <f t="shared" ca="1" si="85"/>
        <v>90</v>
      </c>
      <c r="K131" s="144">
        <f t="shared" ca="1" si="84"/>
        <v>100</v>
      </c>
      <c r="L131" s="145"/>
      <c r="M131" s="145"/>
      <c r="N131" s="145"/>
      <c r="O131" s="145"/>
      <c r="P131" s="145"/>
    </row>
    <row r="132" spans="1:26" ht="20.25" customHeight="1">
      <c r="A132" s="146"/>
      <c r="B132" s="147"/>
      <c r="C132" s="148" t="s">
        <v>16</v>
      </c>
      <c r="D132" s="149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86">L133+L134</f>
        <v>2365095</v>
      </c>
      <c r="M132" s="154">
        <f t="shared" ca="1" si="86"/>
        <v>2412195</v>
      </c>
      <c r="N132" s="154">
        <f t="shared" ca="1" si="86"/>
        <v>2412195</v>
      </c>
      <c r="O132" s="154">
        <f t="shared" ref="O132:O140" ca="1" si="87">IF(L132&gt;0,N132*100/L132,0)</f>
        <v>101.9914633450242</v>
      </c>
      <c r="P132" s="154">
        <f t="shared" ref="P132:P140" ca="1" si="88">IF(M132&gt;0,N132*100/M132,0)</f>
        <v>100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20.25" hidden="1" customHeight="1">
      <c r="A133" s="155"/>
      <c r="B133" s="39"/>
      <c r="C133" s="39"/>
      <c r="D133" s="39"/>
      <c r="E133" s="40" t="s">
        <v>18</v>
      </c>
      <c r="F133" s="39"/>
      <c r="G133" s="156"/>
      <c r="H133" s="157" t="s">
        <v>12</v>
      </c>
      <c r="I133" s="43"/>
      <c r="J133" s="43"/>
      <c r="K133" s="44"/>
      <c r="L133" s="44">
        <f t="shared" ref="L133:N133" si="89">L136+L139</f>
        <v>0</v>
      </c>
      <c r="M133" s="44">
        <f t="shared" si="89"/>
        <v>0</v>
      </c>
      <c r="N133" s="44">
        <f t="shared" si="89"/>
        <v>0</v>
      </c>
      <c r="O133" s="44">
        <f t="shared" si="87"/>
        <v>0</v>
      </c>
      <c r="P133" s="44">
        <f t="shared" si="88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20.25" hidden="1" customHeight="1">
      <c r="A134" s="155"/>
      <c r="B134" s="39"/>
      <c r="C134" s="39"/>
      <c r="D134" s="39"/>
      <c r="E134" s="40" t="s">
        <v>19</v>
      </c>
      <c r="F134" s="39"/>
      <c r="G134" s="156"/>
      <c r="H134" s="157" t="s">
        <v>12</v>
      </c>
      <c r="I134" s="43"/>
      <c r="J134" s="43"/>
      <c r="K134" s="44"/>
      <c r="L134" s="44">
        <f t="shared" ref="L134:N134" ca="1" si="90">L137+L140</f>
        <v>2365095</v>
      </c>
      <c r="M134" s="44">
        <f t="shared" ca="1" si="90"/>
        <v>2412195</v>
      </c>
      <c r="N134" s="44">
        <f t="shared" ca="1" si="90"/>
        <v>2412195</v>
      </c>
      <c r="O134" s="44">
        <f t="shared" ca="1" si="87"/>
        <v>101.9914633450242</v>
      </c>
      <c r="P134" s="44">
        <f t="shared" ca="1" si="88"/>
        <v>100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20.25" customHeight="1">
      <c r="A135" s="158"/>
      <c r="B135" s="32"/>
      <c r="C135" s="159"/>
      <c r="D135" s="33" t="s">
        <v>20</v>
      </c>
      <c r="E135" s="32"/>
      <c r="F135" s="32"/>
      <c r="G135" s="34"/>
      <c r="H135" s="160" t="s">
        <v>12</v>
      </c>
      <c r="I135" s="161"/>
      <c r="J135" s="161"/>
      <c r="K135" s="162"/>
      <c r="L135" s="37">
        <f t="shared" ref="L135:N135" ca="1" si="91">L136+L137</f>
        <v>1438095</v>
      </c>
      <c r="M135" s="37">
        <f t="shared" ca="1" si="91"/>
        <v>1491195</v>
      </c>
      <c r="N135" s="37">
        <f t="shared" ca="1" si="91"/>
        <v>1491195</v>
      </c>
      <c r="O135" s="37">
        <f t="shared" ca="1" si="87"/>
        <v>103.69238471728224</v>
      </c>
      <c r="P135" s="37">
        <f t="shared" ca="1" si="88"/>
        <v>100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20.25" hidden="1" customHeight="1">
      <c r="A136" s="155"/>
      <c r="B136" s="39"/>
      <c r="C136" s="163"/>
      <c r="D136" s="39"/>
      <c r="E136" s="40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44">
        <f t="shared" si="87"/>
        <v>0</v>
      </c>
      <c r="P136" s="44">
        <f t="shared" si="88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20.25" hidden="1" customHeight="1">
      <c r="A137" s="155"/>
      <c r="B137" s="39"/>
      <c r="C137" s="163"/>
      <c r="D137" s="39"/>
      <c r="E137" s="40" t="s">
        <v>37</v>
      </c>
      <c r="F137" s="39"/>
      <c r="G137" s="156"/>
      <c r="H137" s="164" t="s">
        <v>12</v>
      </c>
      <c r="I137" s="165"/>
      <c r="J137" s="165"/>
      <c r="K137" s="166"/>
      <c r="L137" s="44">
        <f ca="1">IFERROR(__xludf.DUMMYFUNCTION("IMPORTRANGE(""https://docs.google.com/spreadsheets/d/1kC41EOXpGBFOW658Fs3oD8beYlym0-zO54WY-2Qnp9I/edit?usp=share_link"",""กระบี่!L137"")
+IMPORTRANGE(""https://docs.google.com/spreadsheets/d/1FbzMZY_f3MDiEuK7RpCQKrilJ_kpX0Wm7QBZ1L7EjIU/edit?usp=share_link"&amp;""",""ชุมพร!L137"")+IMPORTRANGE(""https://docs.google.com/spreadsheets/d/1v5sN-00LrXuhBxw4dkh2GrG_z4l5oAqOdJRBCsUyMaM/edit?usp=share_link"",""ตรัง!L137"")+IMPORTRANGE(""https://docs.google.com/spreadsheets/d/1T5rRTzFc79aSIvqnzkZNvwPstq829QYz_xALlO1Z0s8/edi"&amp;"t?usp=share_link"",""นครศรีธรรมราช!L137"")+IMPORTRANGE(""https://docs.google.com/spreadsheets/d/1BeghqumK0IvCmRd2QOy6_afsZq7ZtAGrSnVJy2u7WmY/edit?usp=share_link"",""นราธิวาส!L137"")+IMPORTRANGE(""https://docs.google.com/spreadsheets/d/1IwnW3-jjRf74MCLW-6P"&amp;"iFwMUffRQXZwZA7YM609NmRc/edit?usp=share_link"",""ปัตตานี!L137"")+IMPORTRANGE(""https://docs.google.com/spreadsheets/d/1vl4QWbWdFruual5o_wdo6ZSqXZ_it806oja4CctTLKs/edit?usp=share_link"",""พังงา!L137"")+IMPORTRANGE(""https://docs.google.com/spreadsheets/d/1"&amp;"b6QssHQp2FoAPSMKHOy273KNzAomaIKhtdlvuZ_zDNE/edit?usp=share_link"",""พัทลุง!L137"")+IMPORTRANGE(""https://docs.google.com/spreadsheets/d/1o7UZe4_OqlqtLDHrj01Z2YFRSZDf1DMy1n3XViHaxRc/edit?usp=share_link"",""ภูเก็ต!L137"")+IMPORTRANGE(""https://docs.google.c"&amp;"om/spreadsheets/d/1ctPm1vUzcUCPuOj9-eoHUD85PqINFqUB0TjdSWmR5-c/edit?usp=share_link"",""ยะลา!L137"")+IMPORTRANGE(""https://docs.google.com/spreadsheets/d/1YiDIE7Klmt8osgdapRqYWNr7iPGFSsiJqq46S7PYRE0/edit?usp=share_link"",""ระนอง!L137"")+IMPORTRANGE(""https"&amp;"://docs.google.com/spreadsheets/d/16o_4B-V7AWw_6E93bSpXj_XxVv1oVQctk-B6z1dNEWU/edit?usp=share_link"",""สงขลา!L137"")+IMPORTRANGE(""https://docs.google.com/spreadsheets/d/16cywr71Fj4fA5OGRHsZh30ZG2gwJhMAQv69oVBzYHv0/edit?usp=share_link"",""สตูล!L137"")+IMP"&amp;"ORTRANGE(""https://docs.google.com/spreadsheets/d/1vO9Sws6kMtrVtyvrAJptINXjK8TFBoX9xLYOVK_C8bQ/edit?usp=share_link"",""สุราษฎร์ธานี!L137"")"),1438095)</f>
        <v>1438095</v>
      </c>
      <c r="M137" s="44">
        <f ca="1">IFERROR(__xludf.DUMMYFUNCTION("IMPORTRANGE(""https://docs.google.com/spreadsheets/d/1kC41EOXpGBFOW658Fs3oD8beYlym0-zO54WY-2Qnp9I/edit?usp=share_link"",""กระบี่!M137"")
+IMPORTRANGE(""https://docs.google.com/spreadsheets/d/1FbzMZY_f3MDiEuK7RpCQKrilJ_kpX0Wm7QBZ1L7EjIU/edit?usp=share_link"&amp;""",""ชุมพร!M137"")+IMPORTRANGE(""https://docs.google.com/spreadsheets/d/1v5sN-00LrXuhBxw4dkh2GrG_z4l5oAqOdJRBCsUyMaM/edit?usp=share_link"",""ตรัง!M137"")+IMPORTRANGE(""https://docs.google.com/spreadsheets/d/1T5rRTzFc79aSIvqnzkZNvwPstq829QYz_xALlO1Z0s8/edi"&amp;"t?usp=share_link"",""นครศรีธรรมราช!M137"")+IMPORTRANGE(""https://docs.google.com/spreadsheets/d/1BeghqumK0IvCmRd2QOy6_afsZq7ZtAGrSnVJy2u7WmY/edit?usp=share_link"",""นราธิวาส!M137"")+IMPORTRANGE(""https://docs.google.com/spreadsheets/d/1IwnW3-jjRf74MCLW-6P"&amp;"iFwMUffRQXZwZA7YM609NmRc/edit?usp=share_link"",""ปัตตานี!M137"")+IMPORTRANGE(""https://docs.google.com/spreadsheets/d/1vl4QWbWdFruual5o_wdo6ZSqXZ_it806oja4CctTLKs/edit?usp=share_link"",""พังงา!M137"")+IMPORTRANGE(""https://docs.google.com/spreadsheets/d/1"&amp;"b6QssHQp2FoAPSMKHOy273KNzAomaIKhtdlvuZ_zDNE/edit?usp=share_link"",""พัทลุง!M137"")+IMPORTRANGE(""https://docs.google.com/spreadsheets/d/1o7UZe4_OqlqtLDHrj01Z2YFRSZDf1DMy1n3XViHaxRc/edit?usp=share_link"",""ภูเก็ต!M137"")+IMPORTRANGE(""https://docs.google.c"&amp;"om/spreadsheets/d/1ctPm1vUzcUCPuOj9-eoHUD85PqINFqUB0TjdSWmR5-c/edit?usp=share_link"",""ยะลา!M137"")+IMPORTRANGE(""https://docs.google.com/spreadsheets/d/1YiDIE7Klmt8osgdapRqYWNr7iPGFSsiJqq46S7PYRE0/edit?usp=share_link"",""ระนอง!M137"")+IMPORTRANGE(""https"&amp;"://docs.google.com/spreadsheets/d/16o_4B-V7AWw_6E93bSpXj_XxVv1oVQctk-B6z1dNEWU/edit?usp=share_link"",""สงขลา!M137"")+IMPORTRANGE(""https://docs.google.com/spreadsheets/d/16cywr71Fj4fA5OGRHsZh30ZG2gwJhMAQv69oVBzYHv0/edit?usp=share_link"",""สตูล!M137"")+IMP"&amp;"ORTRANGE(""https://docs.google.com/spreadsheets/d/1vO9Sws6kMtrVtyvrAJptINXjK8TFBoX9xLYOVK_C8bQ/edit?usp=share_link"",""สุราษฎร์ธานี!M137"")"),1491195)</f>
        <v>1491195</v>
      </c>
      <c r="N137" s="44">
        <f ca="1">IFERROR(__xludf.DUMMYFUNCTION("IMPORTRANGE(""https://docs.google.com/spreadsheets/d/1kC41EOXpGBFOW658Fs3oD8beYlym0-zO54WY-2Qnp9I/edit?usp=share_link"",""กระบี่!N137"")
+IMPORTRANGE(""https://docs.google.com/spreadsheets/d/1FbzMZY_f3MDiEuK7RpCQKrilJ_kpX0Wm7QBZ1L7EjIU/edit?usp=share_link"&amp;""",""ชุมพร!N137"")+IMPORTRANGE(""https://docs.google.com/spreadsheets/d/1v5sN-00LrXuhBxw4dkh2GrG_z4l5oAqOdJRBCsUyMaM/edit?usp=share_link"",""ตรัง!N137"")+IMPORTRANGE(""https://docs.google.com/spreadsheets/d/1T5rRTzFc79aSIvqnzkZNvwPstq829QYz_xALlO1Z0s8/edi"&amp;"t?usp=share_link"",""นครศรีธรรมราช!N137"")+IMPORTRANGE(""https://docs.google.com/spreadsheets/d/1BeghqumK0IvCmRd2QOy6_afsZq7ZtAGrSnVJy2u7WmY/edit?usp=share_link"",""นราธิวาส!N137"")+IMPORTRANGE(""https://docs.google.com/spreadsheets/d/1IwnW3-jjRf74MCLW-6P"&amp;"iFwMUffRQXZwZA7YM609NmRc/edit?usp=share_link"",""ปัตตานี!N137"")+IMPORTRANGE(""https://docs.google.com/spreadsheets/d/1vl4QWbWdFruual5o_wdo6ZSqXZ_it806oja4CctTLKs/edit?usp=share_link"",""พังงา!N137"")+IMPORTRANGE(""https://docs.google.com/spreadsheets/d/1"&amp;"b6QssHQp2FoAPSMKHOy273KNzAomaIKhtdlvuZ_zDNE/edit?usp=share_link"",""พัทลุง!N137"")+IMPORTRANGE(""https://docs.google.com/spreadsheets/d/1o7UZe4_OqlqtLDHrj01Z2YFRSZDf1DMy1n3XViHaxRc/edit?usp=share_link"",""ภูเก็ต!N137"")+IMPORTRANGE(""https://docs.google.c"&amp;"om/spreadsheets/d/1ctPm1vUzcUCPuOj9-eoHUD85PqINFqUB0TjdSWmR5-c/edit?usp=share_link"",""ยะลา!N137"")+IMPORTRANGE(""https://docs.google.com/spreadsheets/d/1YiDIE7Klmt8osgdapRqYWNr7iPGFSsiJqq46S7PYRE0/edit?usp=share_link"",""ระนอง!N137"")+IMPORTRANGE(""https"&amp;"://docs.google.com/spreadsheets/d/16o_4B-V7AWw_6E93bSpXj_XxVv1oVQctk-B6z1dNEWU/edit?usp=share_link"",""สงขลา!N137"")+IMPORTRANGE(""https://docs.google.com/spreadsheets/d/16cywr71Fj4fA5OGRHsZh30ZG2gwJhMAQv69oVBzYHv0/edit?usp=share_link"",""สตูล!N137"")+IMP"&amp;"ORTRANGE(""https://docs.google.com/spreadsheets/d/1vO9Sws6kMtrVtyvrAJptINXjK8TFBoX9xLYOVK_C8bQ/edit?usp=share_link"",""สุราษฎร์ธานี!N137"")"),1491195)</f>
        <v>1491195</v>
      </c>
      <c r="O137" s="44">
        <f t="shared" ca="1" si="87"/>
        <v>103.69238471728224</v>
      </c>
      <c r="P137" s="44">
        <f t="shared" ca="1" si="88"/>
        <v>100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20.25" customHeight="1">
      <c r="A138" s="158"/>
      <c r="B138" s="32"/>
      <c r="C138" s="159"/>
      <c r="D138" s="33" t="s">
        <v>21</v>
      </c>
      <c r="E138" s="32"/>
      <c r="F138" s="32"/>
      <c r="G138" s="34"/>
      <c r="H138" s="167" t="s">
        <v>12</v>
      </c>
      <c r="I138" s="161"/>
      <c r="J138" s="161"/>
      <c r="K138" s="162"/>
      <c r="L138" s="37">
        <f t="shared" ref="L138:N138" ca="1" si="92">L139+L140</f>
        <v>927000</v>
      </c>
      <c r="M138" s="37">
        <f t="shared" ca="1" si="92"/>
        <v>921000</v>
      </c>
      <c r="N138" s="37">
        <f t="shared" ca="1" si="92"/>
        <v>921000</v>
      </c>
      <c r="O138" s="37">
        <f t="shared" ca="1" si="87"/>
        <v>99.35275080906149</v>
      </c>
      <c r="P138" s="37">
        <f t="shared" ca="1" si="88"/>
        <v>100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20.25" hidden="1" customHeight="1">
      <c r="A139" s="155"/>
      <c r="B139" s="39"/>
      <c r="C139" s="163"/>
      <c r="D139" s="39"/>
      <c r="E139" s="40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44">
        <f t="shared" si="87"/>
        <v>0</v>
      </c>
      <c r="P139" s="44">
        <f t="shared" si="88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20.25" hidden="1" customHeight="1">
      <c r="A140" s="155"/>
      <c r="B140" s="39"/>
      <c r="C140" s="163"/>
      <c r="D140" s="39"/>
      <c r="E140" s="40" t="s">
        <v>19</v>
      </c>
      <c r="F140" s="39"/>
      <c r="G140" s="156"/>
      <c r="H140" s="168" t="s">
        <v>12</v>
      </c>
      <c r="I140" s="165"/>
      <c r="J140" s="165"/>
      <c r="K140" s="166"/>
      <c r="L140" s="44">
        <f ca="1">IFERROR(__xludf.DUMMYFUNCTION("IMPORTRANGE(""https://docs.google.com/spreadsheets/d/1kC41EOXpGBFOW658Fs3oD8beYlym0-zO54WY-2Qnp9I/edit?usp=share_link"",""กระบี่!L140"")
+IMPORTRANGE(""https://docs.google.com/spreadsheets/d/1FbzMZY_f3MDiEuK7RpCQKrilJ_kpX0Wm7QBZ1L7EjIU/edit?usp=share_link"&amp;""",""ชุมพร!L140"")+IMPORTRANGE(""https://docs.google.com/spreadsheets/d/1v5sN-00LrXuhBxw4dkh2GrG_z4l5oAqOdJRBCsUyMaM/edit?usp=share_link"",""ตรัง!L140"")+IMPORTRANGE(""https://docs.google.com/spreadsheets/d/1T5rRTzFc79aSIvqnzkZNvwPstq829QYz_xALlO1Z0s8/edi"&amp;"t?usp=share_link"",""นครศรีธรรมราช!L140"")+IMPORTRANGE(""https://docs.google.com/spreadsheets/d/1BeghqumK0IvCmRd2QOy6_afsZq7ZtAGrSnVJy2u7WmY/edit?usp=share_link"",""นราธิวาส!L140"")+IMPORTRANGE(""https://docs.google.com/spreadsheets/d/1IwnW3-jjRf74MCLW-6P"&amp;"iFwMUffRQXZwZA7YM609NmRc/edit?usp=share_link"",""ปัตตานี!L140"")+IMPORTRANGE(""https://docs.google.com/spreadsheets/d/1vl4QWbWdFruual5o_wdo6ZSqXZ_it806oja4CctTLKs/edit?usp=share_link"",""พังงา!L140"")+IMPORTRANGE(""https://docs.google.com/spreadsheets/d/1"&amp;"b6QssHQp2FoAPSMKHOy273KNzAomaIKhtdlvuZ_zDNE/edit?usp=share_link"",""พัทลุง!L140"")+IMPORTRANGE(""https://docs.google.com/spreadsheets/d/1o7UZe4_OqlqtLDHrj01Z2YFRSZDf1DMy1n3XViHaxRc/edit?usp=share_link"",""ภูเก็ต!L140"")+IMPORTRANGE(""https://docs.google.c"&amp;"om/spreadsheets/d/1ctPm1vUzcUCPuOj9-eoHUD85PqINFqUB0TjdSWmR5-c/edit?usp=share_link"",""ยะลา!L140"")+IMPORTRANGE(""https://docs.google.com/spreadsheets/d/1YiDIE7Klmt8osgdapRqYWNr7iPGFSsiJqq46S7PYRE0/edit?usp=share_link"",""ระนอง!L140"")+IMPORTRANGE(""https"&amp;"://docs.google.com/spreadsheets/d/16o_4B-V7AWw_6E93bSpXj_XxVv1oVQctk-B6z1dNEWU/edit?usp=share_link"",""สงขลา!L140"")+IMPORTRANGE(""https://docs.google.com/spreadsheets/d/16cywr71Fj4fA5OGRHsZh30ZG2gwJhMAQv69oVBzYHv0/edit?usp=share_link"",""สตูล!L140"")+IMP"&amp;"ORTRANGE(""https://docs.google.com/spreadsheets/d/1vO9Sws6kMtrVtyvrAJptINXjK8TFBoX9xLYOVK_C8bQ/edit?usp=share_link"",""สุราษฎร์ธานี!L140"")"),927000)</f>
        <v>927000</v>
      </c>
      <c r="M140" s="44">
        <f ca="1">IFERROR(__xludf.DUMMYFUNCTION("IMPORTRANGE(""https://docs.google.com/spreadsheets/d/1kC41EOXpGBFOW658Fs3oD8beYlym0-zO54WY-2Qnp9I/edit?usp=share_link"",""กระบี่!M140"")
+IMPORTRANGE(""https://docs.google.com/spreadsheets/d/1FbzMZY_f3MDiEuK7RpCQKrilJ_kpX0Wm7QBZ1L7EjIU/edit?usp=share_link"&amp;""",""ชุมพร!M140"")+IMPORTRANGE(""https://docs.google.com/spreadsheets/d/1v5sN-00LrXuhBxw4dkh2GrG_z4l5oAqOdJRBCsUyMaM/edit?usp=share_link"",""ตรัง!M140"")+IMPORTRANGE(""https://docs.google.com/spreadsheets/d/1T5rRTzFc79aSIvqnzkZNvwPstq829QYz_xALlO1Z0s8/edi"&amp;"t?usp=share_link"",""นครศรีธรรมราช!M140"")+IMPORTRANGE(""https://docs.google.com/spreadsheets/d/1BeghqumK0IvCmRd2QOy6_afsZq7ZtAGrSnVJy2u7WmY/edit?usp=share_link"",""นราธิวาส!M140"")+IMPORTRANGE(""https://docs.google.com/spreadsheets/d/1IwnW3-jjRf74MCLW-6P"&amp;"iFwMUffRQXZwZA7YM609NmRc/edit?usp=share_link"",""ปัตตานี!M140"")+IMPORTRANGE(""https://docs.google.com/spreadsheets/d/1vl4QWbWdFruual5o_wdo6ZSqXZ_it806oja4CctTLKs/edit?usp=share_link"",""พังงา!M140"")+IMPORTRANGE(""https://docs.google.com/spreadsheets/d/1"&amp;"b6QssHQp2FoAPSMKHOy273KNzAomaIKhtdlvuZ_zDNE/edit?usp=share_link"",""พัทลุง!M140"")+IMPORTRANGE(""https://docs.google.com/spreadsheets/d/1o7UZe4_OqlqtLDHrj01Z2YFRSZDf1DMy1n3XViHaxRc/edit?usp=share_link"",""ภูเก็ต!M140"")+IMPORTRANGE(""https://docs.google.c"&amp;"om/spreadsheets/d/1ctPm1vUzcUCPuOj9-eoHUD85PqINFqUB0TjdSWmR5-c/edit?usp=share_link"",""ยะลา!M140"")+IMPORTRANGE(""https://docs.google.com/spreadsheets/d/1YiDIE7Klmt8osgdapRqYWNr7iPGFSsiJqq46S7PYRE0/edit?usp=share_link"",""ระนอง!M140"")+IMPORTRANGE(""https"&amp;"://docs.google.com/spreadsheets/d/16o_4B-V7AWw_6E93bSpXj_XxVv1oVQctk-B6z1dNEWU/edit?usp=share_link"",""สงขลา!M140"")+IMPORTRANGE(""https://docs.google.com/spreadsheets/d/16cywr71Fj4fA5OGRHsZh30ZG2gwJhMAQv69oVBzYHv0/edit?usp=share_link"",""สตูล!M140"")+IMP"&amp;"ORTRANGE(""https://docs.google.com/spreadsheets/d/1vO9Sws6kMtrVtyvrAJptINXjK8TFBoX9xLYOVK_C8bQ/edit?usp=share_link"",""สุราษฎร์ธานี!M140"")"),921000)</f>
        <v>921000</v>
      </c>
      <c r="N140" s="44">
        <f ca="1">IFERROR(__xludf.DUMMYFUNCTION("IMPORTRANGE(""https://docs.google.com/spreadsheets/d/1kC41EOXpGBFOW658Fs3oD8beYlym0-zO54WY-2Qnp9I/edit?usp=share_link"",""กระบี่!N140"")
+IMPORTRANGE(""https://docs.google.com/spreadsheets/d/1FbzMZY_f3MDiEuK7RpCQKrilJ_kpX0Wm7QBZ1L7EjIU/edit?usp=share_link"&amp;""",""ชุมพร!N140"")+IMPORTRANGE(""https://docs.google.com/spreadsheets/d/1v5sN-00LrXuhBxw4dkh2GrG_z4l5oAqOdJRBCsUyMaM/edit?usp=share_link"",""ตรัง!N140"")+IMPORTRANGE(""https://docs.google.com/spreadsheets/d/1T5rRTzFc79aSIvqnzkZNvwPstq829QYz_xALlO1Z0s8/edi"&amp;"t?usp=share_link"",""นครศรีธรรมราช!N140"")+IMPORTRANGE(""https://docs.google.com/spreadsheets/d/1BeghqumK0IvCmRd2QOy6_afsZq7ZtAGrSnVJy2u7WmY/edit?usp=share_link"",""นราธิวาส!N140"")+IMPORTRANGE(""https://docs.google.com/spreadsheets/d/1IwnW3-jjRf74MCLW-6P"&amp;"iFwMUffRQXZwZA7YM609NmRc/edit?usp=share_link"",""ปัตตานี!N140"")+IMPORTRANGE(""https://docs.google.com/spreadsheets/d/1vl4QWbWdFruual5o_wdo6ZSqXZ_it806oja4CctTLKs/edit?usp=share_link"",""พังงา!N140"")+IMPORTRANGE(""https://docs.google.com/spreadsheets/d/1"&amp;"b6QssHQp2FoAPSMKHOy273KNzAomaIKhtdlvuZ_zDNE/edit?usp=share_link"",""พัทลุง!N140"")+IMPORTRANGE(""https://docs.google.com/spreadsheets/d/1o7UZe4_OqlqtLDHrj01Z2YFRSZDf1DMy1n3XViHaxRc/edit?usp=share_link"",""ภูเก็ต!N140"")+IMPORTRANGE(""https://docs.google.c"&amp;"om/spreadsheets/d/1ctPm1vUzcUCPuOj9-eoHUD85PqINFqUB0TjdSWmR5-c/edit?usp=share_link"",""ยะลา!N140"")+IMPORTRANGE(""https://docs.google.com/spreadsheets/d/1YiDIE7Klmt8osgdapRqYWNr7iPGFSsiJqq46S7PYRE0/edit?usp=share_link"",""ระนอง!N140"")+IMPORTRANGE(""https"&amp;"://docs.google.com/spreadsheets/d/16o_4B-V7AWw_6E93bSpXj_XxVv1oVQctk-B6z1dNEWU/edit?usp=share_link"",""สงขลา!N140"")+IMPORTRANGE(""https://docs.google.com/spreadsheets/d/16cywr71Fj4fA5OGRHsZh30ZG2gwJhMAQv69oVBzYHv0/edit?usp=share_link"",""สตูล!N140"")+IMP"&amp;"ORTRANGE(""https://docs.google.com/spreadsheets/d/1vO9Sws6kMtrVtyvrAJptINXjK8TFBoX9xLYOVK_C8bQ/edit?usp=share_link"",""สุราษฎร์ธานี!N140"")"),921000)</f>
        <v>921000</v>
      </c>
      <c r="O140" s="44">
        <f t="shared" ca="1" si="87"/>
        <v>99.35275080906149</v>
      </c>
      <c r="P140" s="44">
        <f t="shared" ca="1" si="88"/>
        <v>100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20.25" customHeight="1">
      <c r="A141" s="169"/>
      <c r="B141" s="170"/>
      <c r="C141" s="148" t="s">
        <v>16</v>
      </c>
      <c r="D141" s="171" t="s">
        <v>38</v>
      </c>
      <c r="E141" s="172"/>
      <c r="F141" s="172"/>
      <c r="G141" s="173"/>
      <c r="H141" s="167"/>
      <c r="I141" s="36"/>
      <c r="J141" s="36"/>
      <c r="K141" s="37"/>
      <c r="L141" s="37"/>
      <c r="M141" s="37"/>
      <c r="N141" s="37"/>
      <c r="O141" s="37"/>
      <c r="P141" s="37"/>
    </row>
    <row r="142" spans="1:26" ht="20.25" customHeight="1">
      <c r="A142" s="158"/>
      <c r="B142" s="32"/>
      <c r="C142" s="210"/>
      <c r="D142" s="211" t="s">
        <v>71</v>
      </c>
      <c r="E142" s="212"/>
      <c r="F142" s="32"/>
      <c r="G142" s="213"/>
      <c r="H142" s="167"/>
      <c r="I142" s="36"/>
      <c r="J142" s="214">
        <f ca="1">IFERROR(__xludf.DUMMYFUNCTION("IMPORTRANGE(""https://docs.google.com/spreadsheets/d/1kC41EOXpGBFOW658Fs3oD8beYlym0-zO54WY-2Qnp9I/edit?usp=share_link"",""กระบี่!J142"")
+IMPORTRANGE(""https://docs.google.com/spreadsheets/d/1FbzMZY_f3MDiEuK7RpCQKrilJ_kpX0Wm7QBZ1L7EjIU/edit?usp=share_link"&amp;""",""ชุมพร!J142"")+IMPORTRANGE(""https://docs.google.com/spreadsheets/d/1v5sN-00LrXuhBxw4dkh2GrG_z4l5oAqOdJRBCsUyMaM/edit?usp=share_link"",""ตรัง!J142"")+IMPORTRANGE(""https://docs.google.com/spreadsheets/d/1T5rRTzFc79aSIvqnzkZNvwPstq829QYz_xALlO1Z0s8/edi"&amp;"t?usp=share_link"",""นครศรีธรรมราช!J142"")+IMPORTRANGE(""https://docs.google.com/spreadsheets/d/1BeghqumK0IvCmRd2QOy6_afsZq7ZtAGrSnVJy2u7WmY/edit?usp=share_link"",""นราธิวาส!J142"")+IMPORTRANGE(""https://docs.google.com/spreadsheets/d/1IwnW3-jjRf74MCLW-6P"&amp;"iFwMUffRQXZwZA7YM609NmRc/edit?usp=share_link"",""ปัตตานี!J142"")+IMPORTRANGE(""https://docs.google.com/spreadsheets/d/1vl4QWbWdFruual5o_wdo6ZSqXZ_it806oja4CctTLKs/edit?usp=share_link"",""พังงา!J142"")+IMPORTRANGE(""https://docs.google.com/spreadsheets/d/1"&amp;"b6QssHQp2FoAPSMKHOy273KNzAomaIKhtdlvuZ_zDNE/edit?usp=share_link"",""พัทลุง!J142"")+IMPORTRANGE(""https://docs.google.com/spreadsheets/d/1o7UZe4_OqlqtLDHrj01Z2YFRSZDf1DMy1n3XViHaxRc/edit?usp=share_link"",""ภูเก็ต!J142"")+IMPORTRANGE(""https://docs.google.c"&amp;"om/spreadsheets/d/1ctPm1vUzcUCPuOj9-eoHUD85PqINFqUB0TjdSWmR5-c/edit?usp=share_link"",""ยะลา!J142"")+IMPORTRANGE(""https://docs.google.com/spreadsheets/d/1YiDIE7Klmt8osgdapRqYWNr7iPGFSsiJqq46S7PYRE0/edit?usp=share_link"",""ระนอง!J142"")+IMPORTRANGE(""https"&amp;"://docs.google.com/spreadsheets/d/16o_4B-V7AWw_6E93bSpXj_XxVv1oVQctk-B6z1dNEWU/edit?usp=share_link"",""สงขลา!J142"")+IMPORTRANGE(""https://docs.google.com/spreadsheets/d/16cywr71Fj4fA5OGRHsZh30ZG2gwJhMAQv69oVBzYHv0/edit?usp=share_link"",""สตูล!J142"")+IMP"&amp;"ORTRANGE(""https://docs.google.com/spreadsheets/d/1vO9Sws6kMtrVtyvrAJptINXjK8TFBoX9xLYOVK_C8bQ/edit?usp=share_link"",""สุราษฎร์ธานี!J142"")"),10)</f>
        <v>10</v>
      </c>
      <c r="K142" s="37"/>
      <c r="L142" s="37"/>
      <c r="M142" s="37"/>
      <c r="N142" s="37"/>
      <c r="O142" s="37"/>
      <c r="P142" s="37"/>
    </row>
    <row r="143" spans="1:26" ht="20.25" customHeight="1">
      <c r="A143" s="158"/>
      <c r="B143" s="32"/>
      <c r="C143" s="210"/>
      <c r="D143" s="215" t="s">
        <v>72</v>
      </c>
      <c r="E143" s="212"/>
      <c r="F143" s="32"/>
      <c r="G143" s="213"/>
      <c r="H143" s="167" t="s">
        <v>35</v>
      </c>
      <c r="I143" s="36">
        <f ca="1">I145</f>
        <v>90</v>
      </c>
      <c r="J143" s="36">
        <f ca="1">IFERROR(__xludf.DUMMYFUNCTION("IMPORTRANGE(""https://docs.google.com/spreadsheets/d/1kC41EOXpGBFOW658Fs3oD8beYlym0-zO54WY-2Qnp9I/edit?usp=share_link"",""กระบี่!J143"")
+IMPORTRANGE(""https://docs.google.com/spreadsheets/d/1FbzMZY_f3MDiEuK7RpCQKrilJ_kpX0Wm7QBZ1L7EjIU/edit?usp=share_link"&amp;""",""ชุมพร!J143"")+IMPORTRANGE(""https://docs.google.com/spreadsheets/d/1v5sN-00LrXuhBxw4dkh2GrG_z4l5oAqOdJRBCsUyMaM/edit?usp=share_link"",""ตรัง!J143"")+IMPORTRANGE(""https://docs.google.com/spreadsheets/d/1T5rRTzFc79aSIvqnzkZNvwPstq829QYz_xALlO1Z0s8/edi"&amp;"t?usp=share_link"",""นครศรีธรรมราช!J143"")+IMPORTRANGE(""https://docs.google.com/spreadsheets/d/1BeghqumK0IvCmRd2QOy6_afsZq7ZtAGrSnVJy2u7WmY/edit?usp=share_link"",""นราธิวาส!J143"")+IMPORTRANGE(""https://docs.google.com/spreadsheets/d/1IwnW3-jjRf74MCLW-6P"&amp;"iFwMUffRQXZwZA7YM609NmRc/edit?usp=share_link"",""ปัตตานี!J143"")+IMPORTRANGE(""https://docs.google.com/spreadsheets/d/1vl4QWbWdFruual5o_wdo6ZSqXZ_it806oja4CctTLKs/edit?usp=share_link"",""พังงา!J143"")+IMPORTRANGE(""https://docs.google.com/spreadsheets/d/1"&amp;"b6QssHQp2FoAPSMKHOy273KNzAomaIKhtdlvuZ_zDNE/edit?usp=share_link"",""พัทลุง!J143"")+IMPORTRANGE(""https://docs.google.com/spreadsheets/d/1o7UZe4_OqlqtLDHrj01Z2YFRSZDf1DMy1n3XViHaxRc/edit?usp=share_link"",""ภูเก็ต!J143"")+IMPORTRANGE(""https://docs.google.c"&amp;"om/spreadsheets/d/1ctPm1vUzcUCPuOj9-eoHUD85PqINFqUB0TjdSWmR5-c/edit?usp=share_link"",""ยะลา!J143"")+IMPORTRANGE(""https://docs.google.com/spreadsheets/d/1YiDIE7Klmt8osgdapRqYWNr7iPGFSsiJqq46S7PYRE0/edit?usp=share_link"",""ระนอง!J143"")+IMPORTRANGE(""https"&amp;"://docs.google.com/spreadsheets/d/16o_4B-V7AWw_6E93bSpXj_XxVv1oVQctk-B6z1dNEWU/edit?usp=share_link"",""สงขลา!J143"")+IMPORTRANGE(""https://docs.google.com/spreadsheets/d/16cywr71Fj4fA5OGRHsZh30ZG2gwJhMAQv69oVBzYHv0/edit?usp=share_link"",""สตูล!J143"")+IMP"&amp;"ORTRANGE(""https://docs.google.com/spreadsheets/d/1vO9Sws6kMtrVtyvrAJptINXjK8TFBoX9xLYOVK_C8bQ/edit?usp=share_link"",""สุราษฎร์ธานี!J143"")"),90)</f>
        <v>90</v>
      </c>
      <c r="K143" s="37">
        <f t="shared" ref="K143:K146" ca="1" si="93">IF(I143&gt;0,J143*100/I143,0)</f>
        <v>100</v>
      </c>
      <c r="L143" s="37"/>
      <c r="M143" s="37"/>
      <c r="N143" s="37"/>
      <c r="O143" s="37"/>
      <c r="P143" s="37"/>
    </row>
    <row r="144" spans="1:26" ht="20.25" customHeight="1">
      <c r="A144" s="158"/>
      <c r="B144" s="32"/>
      <c r="C144" s="210"/>
      <c r="D144" s="177"/>
      <c r="E144" s="211" t="s">
        <v>73</v>
      </c>
      <c r="F144" s="32"/>
      <c r="G144" s="213"/>
      <c r="H144" s="167" t="s">
        <v>35</v>
      </c>
      <c r="I144" s="36">
        <f ca="1">IFERROR(__xludf.DUMMYFUNCTION("IMPORTRANGE(""https://docs.google.com/spreadsheets/d/1kC41EOXpGBFOW658Fs3oD8beYlym0-zO54WY-2Qnp9I/edit?usp=share_link"",""กระบี่!I144"")
+IMPORTRANGE(""https://docs.google.com/spreadsheets/d/1FbzMZY_f3MDiEuK7RpCQKrilJ_kpX0Wm7QBZ1L7EjIU/edit?usp=share_link"&amp;""",""ชุมพร!I144"")+IMPORTRANGE(""https://docs.google.com/spreadsheets/d/1v5sN-00LrXuhBxw4dkh2GrG_z4l5oAqOdJRBCsUyMaM/edit?usp=share_link"",""ตรัง!I144"")+IMPORTRANGE(""https://docs.google.com/spreadsheets/d/1T5rRTzFc79aSIvqnzkZNvwPstq829QYz_xALlO1Z0s8/edi"&amp;"t?usp=share_link"",""นครศรีธรรมราช!I144"")+IMPORTRANGE(""https://docs.google.com/spreadsheets/d/1BeghqumK0IvCmRd2QOy6_afsZq7ZtAGrSnVJy2u7WmY/edit?usp=share_link"",""นราธิวาส!I144"")+IMPORTRANGE(""https://docs.google.com/spreadsheets/d/1IwnW3-jjRf74MCLW-6P"&amp;"iFwMUffRQXZwZA7YM609NmRc/edit?usp=share_link"",""ปัตตานี!I144"")+IMPORTRANGE(""https://docs.google.com/spreadsheets/d/1vl4QWbWdFruual5o_wdo6ZSqXZ_it806oja4CctTLKs/edit?usp=share_link"",""พังงา!I144"")+IMPORTRANGE(""https://docs.google.com/spreadsheets/d/1"&amp;"b6QssHQp2FoAPSMKHOy273KNzAomaIKhtdlvuZ_zDNE/edit?usp=share_link"",""พัทลุง!I144"")+IMPORTRANGE(""https://docs.google.com/spreadsheets/d/1o7UZe4_OqlqtLDHrj01Z2YFRSZDf1DMy1n3XViHaxRc/edit?usp=share_link"",""ภูเก็ต!I144"")+IMPORTRANGE(""https://docs.google.c"&amp;"om/spreadsheets/d/1ctPm1vUzcUCPuOj9-eoHUD85PqINFqUB0TjdSWmR5-c/edit?usp=share_link"",""ยะลา!I144"")+IMPORTRANGE(""https://docs.google.com/spreadsheets/d/1YiDIE7Klmt8osgdapRqYWNr7iPGFSsiJqq46S7PYRE0/edit?usp=share_link"",""ระนอง!I144"")+IMPORTRANGE(""https"&amp;"://docs.google.com/spreadsheets/d/16o_4B-V7AWw_6E93bSpXj_XxVv1oVQctk-B6z1dNEWU/edit?usp=share_link"",""สงขลา!I144"")+IMPORTRANGE(""https://docs.google.com/spreadsheets/d/16cywr71Fj4fA5OGRHsZh30ZG2gwJhMAQv69oVBzYHv0/edit?usp=share_link"",""สตูล!I144"")+IMP"&amp;"ORTRANGE(""https://docs.google.com/spreadsheets/d/1vO9Sws6kMtrVtyvrAJptINXjK8TFBoX9xLYOVK_C8bQ/edit?usp=share_link"",""สุราษฎร์ธานี!I144"")"),45)</f>
        <v>45</v>
      </c>
      <c r="J144" s="182">
        <f ca="1">IFERROR(__xludf.DUMMYFUNCTION("IMPORTRANGE(""https://docs.google.com/spreadsheets/d/1kC41EOXpGBFOW658Fs3oD8beYlym0-zO54WY-2Qnp9I/edit?usp=share_link"",""กระบี่!J144"")
+IMPORTRANGE(""https://docs.google.com/spreadsheets/d/1FbzMZY_f3MDiEuK7RpCQKrilJ_kpX0Wm7QBZ1L7EjIU/edit?usp=share_link"&amp;""",""ชุมพร!J144"")+IMPORTRANGE(""https://docs.google.com/spreadsheets/d/1v5sN-00LrXuhBxw4dkh2GrG_z4l5oAqOdJRBCsUyMaM/edit?usp=share_link"",""ตรัง!J144"")+IMPORTRANGE(""https://docs.google.com/spreadsheets/d/1T5rRTzFc79aSIvqnzkZNvwPstq829QYz_xALlO1Z0s8/edi"&amp;"t?usp=share_link"",""นครศรีธรรมราช!J144"")+IMPORTRANGE(""https://docs.google.com/spreadsheets/d/1BeghqumK0IvCmRd2QOy6_afsZq7ZtAGrSnVJy2u7WmY/edit?usp=share_link"",""นราธิวาส!J144"")+IMPORTRANGE(""https://docs.google.com/spreadsheets/d/1IwnW3-jjRf74MCLW-6P"&amp;"iFwMUffRQXZwZA7YM609NmRc/edit?usp=share_link"",""ปัตตานี!J144"")+IMPORTRANGE(""https://docs.google.com/spreadsheets/d/1vl4QWbWdFruual5o_wdo6ZSqXZ_it806oja4CctTLKs/edit?usp=share_link"",""พังงา!J144"")+IMPORTRANGE(""https://docs.google.com/spreadsheets/d/1"&amp;"b6QssHQp2FoAPSMKHOy273KNzAomaIKhtdlvuZ_zDNE/edit?usp=share_link"",""พัทลุง!J144"")+IMPORTRANGE(""https://docs.google.com/spreadsheets/d/1o7UZe4_OqlqtLDHrj01Z2YFRSZDf1DMy1n3XViHaxRc/edit?usp=share_link"",""ภูเก็ต!J144"")+IMPORTRANGE(""https://docs.google.c"&amp;"om/spreadsheets/d/1ctPm1vUzcUCPuOj9-eoHUD85PqINFqUB0TjdSWmR5-c/edit?usp=share_link"",""ยะลา!J144"")+IMPORTRANGE(""https://docs.google.com/spreadsheets/d/1YiDIE7Klmt8osgdapRqYWNr7iPGFSsiJqq46S7PYRE0/edit?usp=share_link"",""ระนอง!J144"")+IMPORTRANGE(""https"&amp;"://docs.google.com/spreadsheets/d/16o_4B-V7AWw_6E93bSpXj_XxVv1oVQctk-B6z1dNEWU/edit?usp=share_link"",""สงขลา!J144"")+IMPORTRANGE(""https://docs.google.com/spreadsheets/d/16cywr71Fj4fA5OGRHsZh30ZG2gwJhMAQv69oVBzYHv0/edit?usp=share_link"",""สตูล!J144"")+IMP"&amp;"ORTRANGE(""https://docs.google.com/spreadsheets/d/1vO9Sws6kMtrVtyvrAJptINXjK8TFBoX9xLYOVK_C8bQ/edit?usp=share_link"",""สุราษฎร์ธานี!J144"")"),55)</f>
        <v>55</v>
      </c>
      <c r="K144" s="37">
        <f t="shared" ca="1" si="93"/>
        <v>122.22222222222223</v>
      </c>
      <c r="L144" s="37"/>
      <c r="M144" s="37"/>
      <c r="N144" s="37"/>
      <c r="O144" s="37"/>
      <c r="P144" s="37"/>
    </row>
    <row r="145" spans="1:26" ht="20.25" customHeight="1">
      <c r="A145" s="158"/>
      <c r="B145" s="32"/>
      <c r="C145" s="210"/>
      <c r="D145" s="177"/>
      <c r="E145" s="211" t="s">
        <v>74</v>
      </c>
      <c r="F145" s="32"/>
      <c r="G145" s="213"/>
      <c r="H145" s="167" t="s">
        <v>35</v>
      </c>
      <c r="I145" s="36">
        <f ca="1">IFERROR(__xludf.DUMMYFUNCTION("IMPORTRANGE(""https://docs.google.com/spreadsheets/d/1kC41EOXpGBFOW658Fs3oD8beYlym0-zO54WY-2Qnp9I/edit?usp=share_link"",""กระบี่!I145"")
+IMPORTRANGE(""https://docs.google.com/spreadsheets/d/1FbzMZY_f3MDiEuK7RpCQKrilJ_kpX0Wm7QBZ1L7EjIU/edit?usp=share_link"&amp;""",""ชุมพร!I145"")+IMPORTRANGE(""https://docs.google.com/spreadsheets/d/1v5sN-00LrXuhBxw4dkh2GrG_z4l5oAqOdJRBCsUyMaM/edit?usp=share_link"",""ตรัง!I145"")+IMPORTRANGE(""https://docs.google.com/spreadsheets/d/1T5rRTzFc79aSIvqnzkZNvwPstq829QYz_xALlO1Z0s8/edi"&amp;"t?usp=share_link"",""นครศรีธรรมราช!I145"")+IMPORTRANGE(""https://docs.google.com/spreadsheets/d/1BeghqumK0IvCmRd2QOy6_afsZq7ZtAGrSnVJy2u7WmY/edit?usp=share_link"",""นราธิวาส!I145"")+IMPORTRANGE(""https://docs.google.com/spreadsheets/d/1IwnW3-jjRf74MCLW-6P"&amp;"iFwMUffRQXZwZA7YM609NmRc/edit?usp=share_link"",""ปัตตานี!I145"")+IMPORTRANGE(""https://docs.google.com/spreadsheets/d/1vl4QWbWdFruual5o_wdo6ZSqXZ_it806oja4CctTLKs/edit?usp=share_link"",""พังงา!I145"")+IMPORTRANGE(""https://docs.google.com/spreadsheets/d/1"&amp;"b6QssHQp2FoAPSMKHOy273KNzAomaIKhtdlvuZ_zDNE/edit?usp=share_link"",""พัทลุง!I145"")+IMPORTRANGE(""https://docs.google.com/spreadsheets/d/1o7UZe4_OqlqtLDHrj01Z2YFRSZDf1DMy1n3XViHaxRc/edit?usp=share_link"",""ภูเก็ต!I145"")+IMPORTRANGE(""https://docs.google.c"&amp;"om/spreadsheets/d/1ctPm1vUzcUCPuOj9-eoHUD85PqINFqUB0TjdSWmR5-c/edit?usp=share_link"",""ยะลา!I145"")+IMPORTRANGE(""https://docs.google.com/spreadsheets/d/1YiDIE7Klmt8osgdapRqYWNr7iPGFSsiJqq46S7PYRE0/edit?usp=share_link"",""ระนอง!I145"")+IMPORTRANGE(""https"&amp;"://docs.google.com/spreadsheets/d/16o_4B-V7AWw_6E93bSpXj_XxVv1oVQctk-B6z1dNEWU/edit?usp=share_link"",""สงขลา!I145"")+IMPORTRANGE(""https://docs.google.com/spreadsheets/d/16cywr71Fj4fA5OGRHsZh30ZG2gwJhMAQv69oVBzYHv0/edit?usp=share_link"",""สตูล!I145"")+IMP"&amp;"ORTRANGE(""https://docs.google.com/spreadsheets/d/1vO9Sws6kMtrVtyvrAJptINXjK8TFBoX9xLYOVK_C8bQ/edit?usp=share_link"",""สุราษฎร์ธานี!I145"")"),90)</f>
        <v>90</v>
      </c>
      <c r="J145" s="182">
        <f ca="1">IFERROR(__xludf.DUMMYFUNCTION("IMPORTRANGE(""https://docs.google.com/spreadsheets/d/1kC41EOXpGBFOW658Fs3oD8beYlym0-zO54WY-2Qnp9I/edit?usp=share_link"",""กระบี่!J145"")
+IMPORTRANGE(""https://docs.google.com/spreadsheets/d/1FbzMZY_f3MDiEuK7RpCQKrilJ_kpX0Wm7QBZ1L7EjIU/edit?usp=share_link"&amp;""",""ชุมพร!J145"")+IMPORTRANGE(""https://docs.google.com/spreadsheets/d/1v5sN-00LrXuhBxw4dkh2GrG_z4l5oAqOdJRBCsUyMaM/edit?usp=share_link"",""ตรัง!J145"")+IMPORTRANGE(""https://docs.google.com/spreadsheets/d/1T5rRTzFc79aSIvqnzkZNvwPstq829QYz_xALlO1Z0s8/edi"&amp;"t?usp=share_link"",""นครศรีธรรมราช!J145"")+IMPORTRANGE(""https://docs.google.com/spreadsheets/d/1BeghqumK0IvCmRd2QOy6_afsZq7ZtAGrSnVJy2u7WmY/edit?usp=share_link"",""นราธิวาส!J145"")+IMPORTRANGE(""https://docs.google.com/spreadsheets/d/1IwnW3-jjRf74MCLW-6P"&amp;"iFwMUffRQXZwZA7YM609NmRc/edit?usp=share_link"",""ปัตตานี!J145"")+IMPORTRANGE(""https://docs.google.com/spreadsheets/d/1vl4QWbWdFruual5o_wdo6ZSqXZ_it806oja4CctTLKs/edit?usp=share_link"",""พังงา!J145"")+IMPORTRANGE(""https://docs.google.com/spreadsheets/d/1"&amp;"b6QssHQp2FoAPSMKHOy273KNzAomaIKhtdlvuZ_zDNE/edit?usp=share_link"",""พัทลุง!J145"")+IMPORTRANGE(""https://docs.google.com/spreadsheets/d/1o7UZe4_OqlqtLDHrj01Z2YFRSZDf1DMy1n3XViHaxRc/edit?usp=share_link"",""ภูเก็ต!J145"")+IMPORTRANGE(""https://docs.google.c"&amp;"om/spreadsheets/d/1ctPm1vUzcUCPuOj9-eoHUD85PqINFqUB0TjdSWmR5-c/edit?usp=share_link"",""ยะลา!J145"")+IMPORTRANGE(""https://docs.google.com/spreadsheets/d/1YiDIE7Klmt8osgdapRqYWNr7iPGFSsiJqq46S7PYRE0/edit?usp=share_link"",""ระนอง!J145"")+IMPORTRANGE(""https"&amp;"://docs.google.com/spreadsheets/d/16o_4B-V7AWw_6E93bSpXj_XxVv1oVQctk-B6z1dNEWU/edit?usp=share_link"",""สงขลา!J145"")+IMPORTRANGE(""https://docs.google.com/spreadsheets/d/16cywr71Fj4fA5OGRHsZh30ZG2gwJhMAQv69oVBzYHv0/edit?usp=share_link"",""สตูล!J145"")+IMP"&amp;"ORTRANGE(""https://docs.google.com/spreadsheets/d/1vO9Sws6kMtrVtyvrAJptINXjK8TFBoX9xLYOVK_C8bQ/edit?usp=share_link"",""สุราษฎร์ธานี!J145"")"),90)</f>
        <v>90</v>
      </c>
      <c r="K145" s="37">
        <f t="shared" ca="1" si="93"/>
        <v>100</v>
      </c>
      <c r="L145" s="37"/>
      <c r="M145" s="37"/>
      <c r="N145" s="37"/>
      <c r="O145" s="37"/>
      <c r="P145" s="37"/>
    </row>
    <row r="146" spans="1:26" ht="20.25" customHeight="1">
      <c r="A146" s="158"/>
      <c r="B146" s="32"/>
      <c r="C146" s="210"/>
      <c r="D146" s="211" t="s">
        <v>75</v>
      </c>
      <c r="E146" s="212"/>
      <c r="F146" s="32"/>
      <c r="G146" s="213"/>
      <c r="H146" s="167" t="s">
        <v>66</v>
      </c>
      <c r="I146" s="36">
        <f ca="1">IFERROR(__xludf.DUMMYFUNCTION("IMPORTRANGE(""https://docs.google.com/spreadsheets/d/1kC41EOXpGBFOW658Fs3oD8beYlym0-zO54WY-2Qnp9I/edit?usp=share_link"",""กระบี่!I146"")
+IMPORTRANGE(""https://docs.google.com/spreadsheets/d/1FbzMZY_f3MDiEuK7RpCQKrilJ_kpX0Wm7QBZ1L7EjIU/edit?usp=share_link"&amp;""",""ชุมพร!I146"")+IMPORTRANGE(""https://docs.google.com/spreadsheets/d/1v5sN-00LrXuhBxw4dkh2GrG_z4l5oAqOdJRBCsUyMaM/edit?usp=share_link"",""ตรัง!I146"")+IMPORTRANGE(""https://docs.google.com/spreadsheets/d/1T5rRTzFc79aSIvqnzkZNvwPstq829QYz_xALlO1Z0s8/edi"&amp;"t?usp=share_link"",""นครศรีธรรมราช!I146"")+IMPORTRANGE(""https://docs.google.com/spreadsheets/d/1BeghqumK0IvCmRd2QOy6_afsZq7ZtAGrSnVJy2u7WmY/edit?usp=share_link"",""นราธิวาส!I146"")+IMPORTRANGE(""https://docs.google.com/spreadsheets/d/1IwnW3-jjRf74MCLW-6P"&amp;"iFwMUffRQXZwZA7YM609NmRc/edit?usp=share_link"",""ปัตตานี!I146"")+IMPORTRANGE(""https://docs.google.com/spreadsheets/d/1vl4QWbWdFruual5o_wdo6ZSqXZ_it806oja4CctTLKs/edit?usp=share_link"",""พังงา!I146"")+IMPORTRANGE(""https://docs.google.com/spreadsheets/d/1"&amp;"b6QssHQp2FoAPSMKHOy273KNzAomaIKhtdlvuZ_zDNE/edit?usp=share_link"",""พัทลุง!I146"")+IMPORTRANGE(""https://docs.google.com/spreadsheets/d/1o7UZe4_OqlqtLDHrj01Z2YFRSZDf1DMy1n3XViHaxRc/edit?usp=share_link"",""ภูเก็ต!I146"")+IMPORTRANGE(""https://docs.google.c"&amp;"om/spreadsheets/d/1ctPm1vUzcUCPuOj9-eoHUD85PqINFqUB0TjdSWmR5-c/edit?usp=share_link"",""ยะลา!I146"")+IMPORTRANGE(""https://docs.google.com/spreadsheets/d/1YiDIE7Klmt8osgdapRqYWNr7iPGFSsiJqq46S7PYRE0/edit?usp=share_link"",""ระนอง!I146"")+IMPORTRANGE(""https"&amp;"://docs.google.com/spreadsheets/d/16o_4B-V7AWw_6E93bSpXj_XxVv1oVQctk-B6z1dNEWU/edit?usp=share_link"",""สงขลา!I146"")+IMPORTRANGE(""https://docs.google.com/spreadsheets/d/16cywr71Fj4fA5OGRHsZh30ZG2gwJhMAQv69oVBzYHv0/edit?usp=share_link"",""สตูล!I146"")+IMP"&amp;"ORTRANGE(""https://docs.google.com/spreadsheets/d/1vO9Sws6kMtrVtyvrAJptINXjK8TFBoX9xLYOVK_C8bQ/edit?usp=share_link"",""สุราษฎร์ธานี!I146"")"),9)</f>
        <v>9</v>
      </c>
      <c r="J146" s="182">
        <f ca="1">IFERROR(__xludf.DUMMYFUNCTION("IMPORTRANGE(""https://docs.google.com/spreadsheets/d/1kC41EOXpGBFOW658Fs3oD8beYlym0-zO54WY-2Qnp9I/edit?usp=share_link"",""กระบี่!J146"")
+IMPORTRANGE(""https://docs.google.com/spreadsheets/d/1FbzMZY_f3MDiEuK7RpCQKrilJ_kpX0Wm7QBZ1L7EjIU/edit?usp=share_link"&amp;""",""ชุมพร!J146"")+IMPORTRANGE(""https://docs.google.com/spreadsheets/d/1v5sN-00LrXuhBxw4dkh2GrG_z4l5oAqOdJRBCsUyMaM/edit?usp=share_link"",""ตรัง!J146"")+IMPORTRANGE(""https://docs.google.com/spreadsheets/d/1T5rRTzFc79aSIvqnzkZNvwPstq829QYz_xALlO1Z0s8/edi"&amp;"t?usp=share_link"",""นครศรีธรรมราช!J146"")+IMPORTRANGE(""https://docs.google.com/spreadsheets/d/1BeghqumK0IvCmRd2QOy6_afsZq7ZtAGrSnVJy2u7WmY/edit?usp=share_link"",""นราธิวาส!J146"")+IMPORTRANGE(""https://docs.google.com/spreadsheets/d/1IwnW3-jjRf74MCLW-6P"&amp;"iFwMUffRQXZwZA7YM609NmRc/edit?usp=share_link"",""ปัตตานี!J146"")+IMPORTRANGE(""https://docs.google.com/spreadsheets/d/1vl4QWbWdFruual5o_wdo6ZSqXZ_it806oja4CctTLKs/edit?usp=share_link"",""พังงา!J146"")+IMPORTRANGE(""https://docs.google.com/spreadsheets/d/1"&amp;"b6QssHQp2FoAPSMKHOy273KNzAomaIKhtdlvuZ_zDNE/edit?usp=share_link"",""พัทลุง!J146"")+IMPORTRANGE(""https://docs.google.com/spreadsheets/d/1o7UZe4_OqlqtLDHrj01Z2YFRSZDf1DMy1n3XViHaxRc/edit?usp=share_link"",""ภูเก็ต!J146"")+IMPORTRANGE(""https://docs.google.c"&amp;"om/spreadsheets/d/1ctPm1vUzcUCPuOj9-eoHUD85PqINFqUB0TjdSWmR5-c/edit?usp=share_link"",""ยะลา!J146"")+IMPORTRANGE(""https://docs.google.com/spreadsheets/d/1YiDIE7Klmt8osgdapRqYWNr7iPGFSsiJqq46S7PYRE0/edit?usp=share_link"",""ระนอง!J146"")+IMPORTRANGE(""https"&amp;"://docs.google.com/spreadsheets/d/16o_4B-V7AWw_6E93bSpXj_XxVv1oVQctk-B6z1dNEWU/edit?usp=share_link"",""สงขลา!J146"")+IMPORTRANGE(""https://docs.google.com/spreadsheets/d/16cywr71Fj4fA5OGRHsZh30ZG2gwJhMAQv69oVBzYHv0/edit?usp=share_link"",""สตูล!J146"")+IMP"&amp;"ORTRANGE(""https://docs.google.com/spreadsheets/d/1vO9Sws6kMtrVtyvrAJptINXjK8TFBoX9xLYOVK_C8bQ/edit?usp=share_link"",""สุราษฎร์ธานี!J146"")"),9)</f>
        <v>9</v>
      </c>
      <c r="K146" s="37">
        <f t="shared" ca="1" si="93"/>
        <v>100</v>
      </c>
      <c r="L146" s="37"/>
      <c r="M146" s="37"/>
      <c r="N146" s="37"/>
      <c r="O146" s="37"/>
      <c r="P146" s="37"/>
    </row>
    <row r="147" spans="1:26" ht="20.25" customHeight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20.25" customHeight="1">
      <c r="A148" s="216"/>
      <c r="B148" s="138" t="s">
        <v>77</v>
      </c>
      <c r="C148" s="208"/>
      <c r="D148" s="208"/>
      <c r="E148" s="217"/>
      <c r="F148" s="218"/>
      <c r="G148" s="219"/>
      <c r="H148" s="220" t="s">
        <v>35</v>
      </c>
      <c r="I148" s="143">
        <f t="shared" ref="I148:J148" ca="1" si="94">I159</f>
        <v>40</v>
      </c>
      <c r="J148" s="143">
        <f t="shared" ca="1" si="94"/>
        <v>40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20.25" customHeight="1">
      <c r="A149" s="146"/>
      <c r="B149" s="147"/>
      <c r="C149" s="148" t="s">
        <v>16</v>
      </c>
      <c r="D149" s="149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95">L150+L151</f>
        <v>20000</v>
      </c>
      <c r="M149" s="154">
        <f t="shared" ca="1" si="95"/>
        <v>87040</v>
      </c>
      <c r="N149" s="154">
        <f t="shared" ca="1" si="95"/>
        <v>87040</v>
      </c>
      <c r="O149" s="154">
        <f t="shared" ref="O149:O157" ca="1" si="96">IF(L149&gt;0,N149*100/L149,0)</f>
        <v>435.2</v>
      </c>
      <c r="P149" s="154">
        <f t="shared" ref="P149:P157" ca="1" si="97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20.25" hidden="1" customHeight="1">
      <c r="A150" s="155"/>
      <c r="B150" s="39"/>
      <c r="C150" s="39"/>
      <c r="D150" s="39"/>
      <c r="E150" s="40" t="s">
        <v>18</v>
      </c>
      <c r="F150" s="39"/>
      <c r="G150" s="156"/>
      <c r="H150" s="157" t="s">
        <v>12</v>
      </c>
      <c r="I150" s="43"/>
      <c r="J150" s="43"/>
      <c r="K150" s="44"/>
      <c r="L150" s="44">
        <f t="shared" ref="L150:N150" si="98">L153+L156</f>
        <v>0</v>
      </c>
      <c r="M150" s="44">
        <f t="shared" si="98"/>
        <v>0</v>
      </c>
      <c r="N150" s="44">
        <f t="shared" si="98"/>
        <v>0</v>
      </c>
      <c r="O150" s="44">
        <f t="shared" si="96"/>
        <v>0</v>
      </c>
      <c r="P150" s="44">
        <f t="shared" si="97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20.25" hidden="1" customHeight="1">
      <c r="A151" s="155"/>
      <c r="B151" s="39"/>
      <c r="C151" s="39"/>
      <c r="D151" s="39"/>
      <c r="E151" s="40" t="s">
        <v>19</v>
      </c>
      <c r="F151" s="39"/>
      <c r="G151" s="156"/>
      <c r="H151" s="157" t="s">
        <v>12</v>
      </c>
      <c r="I151" s="43"/>
      <c r="J151" s="43"/>
      <c r="K151" s="44"/>
      <c r="L151" s="44">
        <f t="shared" ref="L151:N151" ca="1" si="99">L154+L157</f>
        <v>20000</v>
      </c>
      <c r="M151" s="44">
        <f t="shared" ca="1" si="99"/>
        <v>87040</v>
      </c>
      <c r="N151" s="44">
        <f t="shared" ca="1" si="99"/>
        <v>87040</v>
      </c>
      <c r="O151" s="44">
        <f t="shared" ca="1" si="96"/>
        <v>435.2</v>
      </c>
      <c r="P151" s="44">
        <f t="shared" ca="1" si="97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20.25" customHeight="1">
      <c r="A152" s="158"/>
      <c r="B152" s="32"/>
      <c r="C152" s="159"/>
      <c r="D152" s="33" t="s">
        <v>20</v>
      </c>
      <c r="E152" s="32"/>
      <c r="F152" s="32"/>
      <c r="G152" s="34"/>
      <c r="H152" s="160" t="s">
        <v>12</v>
      </c>
      <c r="I152" s="161"/>
      <c r="J152" s="161"/>
      <c r="K152" s="162"/>
      <c r="L152" s="37">
        <f t="shared" ref="L152:N152" ca="1" si="100">L153+L154</f>
        <v>20000</v>
      </c>
      <c r="M152" s="37">
        <f t="shared" ca="1" si="100"/>
        <v>87040</v>
      </c>
      <c r="N152" s="37">
        <f t="shared" ca="1" si="100"/>
        <v>87040</v>
      </c>
      <c r="O152" s="37">
        <f t="shared" ca="1" si="96"/>
        <v>435.2</v>
      </c>
      <c r="P152" s="37">
        <f t="shared" ca="1" si="97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20.25" hidden="1" customHeight="1">
      <c r="A153" s="155"/>
      <c r="B153" s="39"/>
      <c r="C153" s="163"/>
      <c r="D153" s="39"/>
      <c r="E153" s="40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44">
        <f t="shared" si="96"/>
        <v>0</v>
      </c>
      <c r="P153" s="44">
        <f t="shared" si="97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20.25" hidden="1" customHeight="1">
      <c r="A154" s="155"/>
      <c r="B154" s="39"/>
      <c r="C154" s="163"/>
      <c r="D154" s="39"/>
      <c r="E154" s="40" t="s">
        <v>37</v>
      </c>
      <c r="F154" s="39"/>
      <c r="G154" s="156"/>
      <c r="H154" s="164" t="s">
        <v>12</v>
      </c>
      <c r="I154" s="165"/>
      <c r="J154" s="165"/>
      <c r="K154" s="166"/>
      <c r="L154" s="44">
        <f ca="1">IFERROR(__xludf.DUMMYFUNCTION("IMPORTRANGE(""https://docs.google.com/spreadsheets/d/1kC41EOXpGBFOW658Fs3oD8beYlym0-zO54WY-2Qnp9I/edit?usp=share_link"",""กระบี่!L154"")
+IMPORTRANGE(""https://docs.google.com/spreadsheets/d/1FbzMZY_f3MDiEuK7RpCQKrilJ_kpX0Wm7QBZ1L7EjIU/edit?usp=share_link"&amp;""",""ชุมพร!L154"")+IMPORTRANGE(""https://docs.google.com/spreadsheets/d/1v5sN-00LrXuhBxw4dkh2GrG_z4l5oAqOdJRBCsUyMaM/edit?usp=share_link"",""ตรัง!L154"")+IMPORTRANGE(""https://docs.google.com/spreadsheets/d/1T5rRTzFc79aSIvqnzkZNvwPstq829QYz_xALlO1Z0s8/edi"&amp;"t?usp=share_link"",""นครศรีธรรมราช!L154"")+IMPORTRANGE(""https://docs.google.com/spreadsheets/d/1BeghqumK0IvCmRd2QOy6_afsZq7ZtAGrSnVJy2u7WmY/edit?usp=share_link"",""นราธิวาส!L154"")+IMPORTRANGE(""https://docs.google.com/spreadsheets/d/1IwnW3-jjRf74MCLW-6P"&amp;"iFwMUffRQXZwZA7YM609NmRc/edit?usp=share_link"",""ปัตตานี!L154"")+IMPORTRANGE(""https://docs.google.com/spreadsheets/d/1vl4QWbWdFruual5o_wdo6ZSqXZ_it806oja4CctTLKs/edit?usp=share_link"",""พังงา!L154"")+IMPORTRANGE(""https://docs.google.com/spreadsheets/d/1"&amp;"b6QssHQp2FoAPSMKHOy273KNzAomaIKhtdlvuZ_zDNE/edit?usp=share_link"",""พัทลุง!L154"")+IMPORTRANGE(""https://docs.google.com/spreadsheets/d/1o7UZe4_OqlqtLDHrj01Z2YFRSZDf1DMy1n3XViHaxRc/edit?usp=share_link"",""ภูเก็ต!L154"")+IMPORTRANGE(""https://docs.google.c"&amp;"om/spreadsheets/d/1ctPm1vUzcUCPuOj9-eoHUD85PqINFqUB0TjdSWmR5-c/edit?usp=share_link"",""ยะลา!L154"")+IMPORTRANGE(""https://docs.google.com/spreadsheets/d/1YiDIE7Klmt8osgdapRqYWNr7iPGFSsiJqq46S7PYRE0/edit?usp=share_link"",""ระนอง!L154"")+IMPORTRANGE(""https"&amp;"://docs.google.com/spreadsheets/d/16o_4B-V7AWw_6E93bSpXj_XxVv1oVQctk-B6z1dNEWU/edit?usp=share_link"",""สงขลา!L154"")+IMPORTRANGE(""https://docs.google.com/spreadsheets/d/16cywr71Fj4fA5OGRHsZh30ZG2gwJhMAQv69oVBzYHv0/edit?usp=share_link"",""สตูล!L154"")+IMP"&amp;"ORTRANGE(""https://docs.google.com/spreadsheets/d/1vO9Sws6kMtrVtyvrAJptINXjK8TFBoX9xLYOVK_C8bQ/edit?usp=share_link"",""สุราษฎร์ธานี!L154"")"),20000)</f>
        <v>20000</v>
      </c>
      <c r="M154" s="44">
        <f ca="1">IFERROR(__xludf.DUMMYFUNCTION("IMPORTRANGE(""https://docs.google.com/spreadsheets/d/1kC41EOXpGBFOW658Fs3oD8beYlym0-zO54WY-2Qnp9I/edit?usp=share_link"",""กระบี่!M154"")
+IMPORTRANGE(""https://docs.google.com/spreadsheets/d/1FbzMZY_f3MDiEuK7RpCQKrilJ_kpX0Wm7QBZ1L7EjIU/edit?usp=share_link"&amp;""",""ชุมพร!M154"")+IMPORTRANGE(""https://docs.google.com/spreadsheets/d/1v5sN-00LrXuhBxw4dkh2GrG_z4l5oAqOdJRBCsUyMaM/edit?usp=share_link"",""ตรัง!M154"")+IMPORTRANGE(""https://docs.google.com/spreadsheets/d/1T5rRTzFc79aSIvqnzkZNvwPstq829QYz_xALlO1Z0s8/edi"&amp;"t?usp=share_link"",""นครศรีธรรมราช!M154"")+IMPORTRANGE(""https://docs.google.com/spreadsheets/d/1BeghqumK0IvCmRd2QOy6_afsZq7ZtAGrSnVJy2u7WmY/edit?usp=share_link"",""นราธิวาส!M154"")+IMPORTRANGE(""https://docs.google.com/spreadsheets/d/1IwnW3-jjRf74MCLW-6P"&amp;"iFwMUffRQXZwZA7YM609NmRc/edit?usp=share_link"",""ปัตตานี!M154"")+IMPORTRANGE(""https://docs.google.com/spreadsheets/d/1vl4QWbWdFruual5o_wdo6ZSqXZ_it806oja4CctTLKs/edit?usp=share_link"",""พังงา!M154"")+IMPORTRANGE(""https://docs.google.com/spreadsheets/d/1"&amp;"b6QssHQp2FoAPSMKHOy273KNzAomaIKhtdlvuZ_zDNE/edit?usp=share_link"",""พัทลุง!M154"")+IMPORTRANGE(""https://docs.google.com/spreadsheets/d/1o7UZe4_OqlqtLDHrj01Z2YFRSZDf1DMy1n3XViHaxRc/edit?usp=share_link"",""ภูเก็ต!M154"")+IMPORTRANGE(""https://docs.google.c"&amp;"om/spreadsheets/d/1ctPm1vUzcUCPuOj9-eoHUD85PqINFqUB0TjdSWmR5-c/edit?usp=share_link"",""ยะลา!M154"")+IMPORTRANGE(""https://docs.google.com/spreadsheets/d/1YiDIE7Klmt8osgdapRqYWNr7iPGFSsiJqq46S7PYRE0/edit?usp=share_link"",""ระนอง!M154"")+IMPORTRANGE(""https"&amp;"://docs.google.com/spreadsheets/d/16o_4B-V7AWw_6E93bSpXj_XxVv1oVQctk-B6z1dNEWU/edit?usp=share_link"",""สงขลา!M154"")+IMPORTRANGE(""https://docs.google.com/spreadsheets/d/16cywr71Fj4fA5OGRHsZh30ZG2gwJhMAQv69oVBzYHv0/edit?usp=share_link"",""สตูล!M154"")+IMP"&amp;"ORTRANGE(""https://docs.google.com/spreadsheets/d/1vO9Sws6kMtrVtyvrAJptINXjK8TFBoX9xLYOVK_C8bQ/edit?usp=share_link"",""สุราษฎร์ธานี!M154"")"),87040)</f>
        <v>87040</v>
      </c>
      <c r="N154" s="44">
        <f ca="1">IFERROR(__xludf.DUMMYFUNCTION("IMPORTRANGE(""https://docs.google.com/spreadsheets/d/1kC41EOXpGBFOW658Fs3oD8beYlym0-zO54WY-2Qnp9I/edit?usp=share_link"",""กระบี่!N154"")
+IMPORTRANGE(""https://docs.google.com/spreadsheets/d/1FbzMZY_f3MDiEuK7RpCQKrilJ_kpX0Wm7QBZ1L7EjIU/edit?usp=share_link"&amp;""",""ชุมพร!N154"")+IMPORTRANGE(""https://docs.google.com/spreadsheets/d/1v5sN-00LrXuhBxw4dkh2GrG_z4l5oAqOdJRBCsUyMaM/edit?usp=share_link"",""ตรัง!N154"")+IMPORTRANGE(""https://docs.google.com/spreadsheets/d/1T5rRTzFc79aSIvqnzkZNvwPstq829QYz_xALlO1Z0s8/edi"&amp;"t?usp=share_link"",""นครศรีธรรมราช!N154"")+IMPORTRANGE(""https://docs.google.com/spreadsheets/d/1BeghqumK0IvCmRd2QOy6_afsZq7ZtAGrSnVJy2u7WmY/edit?usp=share_link"",""นราธิวาส!N154"")+IMPORTRANGE(""https://docs.google.com/spreadsheets/d/1IwnW3-jjRf74MCLW-6P"&amp;"iFwMUffRQXZwZA7YM609NmRc/edit?usp=share_link"",""ปัตตานี!N154"")+IMPORTRANGE(""https://docs.google.com/spreadsheets/d/1vl4QWbWdFruual5o_wdo6ZSqXZ_it806oja4CctTLKs/edit?usp=share_link"",""พังงา!N154"")+IMPORTRANGE(""https://docs.google.com/spreadsheets/d/1"&amp;"b6QssHQp2FoAPSMKHOy273KNzAomaIKhtdlvuZ_zDNE/edit?usp=share_link"",""พัทลุง!N154"")+IMPORTRANGE(""https://docs.google.com/spreadsheets/d/1o7UZe4_OqlqtLDHrj01Z2YFRSZDf1DMy1n3XViHaxRc/edit?usp=share_link"",""ภูเก็ต!N154"")+IMPORTRANGE(""https://docs.google.c"&amp;"om/spreadsheets/d/1ctPm1vUzcUCPuOj9-eoHUD85PqINFqUB0TjdSWmR5-c/edit?usp=share_link"",""ยะลา!N154"")+IMPORTRANGE(""https://docs.google.com/spreadsheets/d/1YiDIE7Klmt8osgdapRqYWNr7iPGFSsiJqq46S7PYRE0/edit?usp=share_link"",""ระนอง!N154"")+IMPORTRANGE(""https"&amp;"://docs.google.com/spreadsheets/d/16o_4B-V7AWw_6E93bSpXj_XxVv1oVQctk-B6z1dNEWU/edit?usp=share_link"",""สงขลา!N154"")+IMPORTRANGE(""https://docs.google.com/spreadsheets/d/16cywr71Fj4fA5OGRHsZh30ZG2gwJhMAQv69oVBzYHv0/edit?usp=share_link"",""สตูล!N154"")+IMP"&amp;"ORTRANGE(""https://docs.google.com/spreadsheets/d/1vO9Sws6kMtrVtyvrAJptINXjK8TFBoX9xLYOVK_C8bQ/edit?usp=share_link"",""สุราษฎร์ธานี!N154"")"),87040)</f>
        <v>87040</v>
      </c>
      <c r="O154" s="44">
        <f t="shared" ca="1" si="96"/>
        <v>435.2</v>
      </c>
      <c r="P154" s="44">
        <f t="shared" ca="1" si="97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20.25" customHeight="1">
      <c r="A155" s="158"/>
      <c r="B155" s="32"/>
      <c r="C155" s="159"/>
      <c r="D155" s="33" t="s">
        <v>21</v>
      </c>
      <c r="E155" s="32"/>
      <c r="F155" s="32"/>
      <c r="G155" s="34"/>
      <c r="H155" s="167" t="s">
        <v>12</v>
      </c>
      <c r="I155" s="161"/>
      <c r="J155" s="161"/>
      <c r="K155" s="162"/>
      <c r="L155" s="37">
        <f t="shared" ref="L155:N155" ca="1" si="101">L156+L157</f>
        <v>0</v>
      </c>
      <c r="M155" s="37">
        <f t="shared" ca="1" si="101"/>
        <v>0</v>
      </c>
      <c r="N155" s="37">
        <f t="shared" ca="1" si="101"/>
        <v>0</v>
      </c>
      <c r="O155" s="37">
        <f t="shared" ca="1" si="96"/>
        <v>0</v>
      </c>
      <c r="P155" s="37">
        <f t="shared" ca="1" si="97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20.25" hidden="1" customHeight="1">
      <c r="A156" s="155"/>
      <c r="B156" s="39"/>
      <c r="C156" s="163"/>
      <c r="D156" s="39"/>
      <c r="E156" s="40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44">
        <f t="shared" si="96"/>
        <v>0</v>
      </c>
      <c r="P156" s="44">
        <f t="shared" si="97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20.25" hidden="1" customHeight="1">
      <c r="A157" s="155"/>
      <c r="B157" s="39"/>
      <c r="C157" s="163"/>
      <c r="D157" s="39"/>
      <c r="E157" s="40" t="s">
        <v>19</v>
      </c>
      <c r="F157" s="39"/>
      <c r="G157" s="156"/>
      <c r="H157" s="168" t="s">
        <v>12</v>
      </c>
      <c r="I157" s="165"/>
      <c r="J157" s="165"/>
      <c r="K157" s="166"/>
      <c r="L157" s="44">
        <f ca="1">IFERROR(__xludf.DUMMYFUNCTION("IMPORTRANGE(""https://docs.google.com/spreadsheets/d/1kC41EOXpGBFOW658Fs3oD8beYlym0-zO54WY-2Qnp9I/edit?usp=share_link"",""กระบี่!L157"")
+IMPORTRANGE(""https://docs.google.com/spreadsheets/d/1FbzMZY_f3MDiEuK7RpCQKrilJ_kpX0Wm7QBZ1L7EjIU/edit?usp=share_link"&amp;""",""ชุมพร!L157"")+IMPORTRANGE(""https://docs.google.com/spreadsheets/d/1v5sN-00LrXuhBxw4dkh2GrG_z4l5oAqOdJRBCsUyMaM/edit?usp=share_link"",""ตรัง!L157"")+IMPORTRANGE(""https://docs.google.com/spreadsheets/d/1T5rRTzFc79aSIvqnzkZNvwPstq829QYz_xALlO1Z0s8/edi"&amp;"t?usp=share_link"",""นครศรีธรรมราช!L157"")+IMPORTRANGE(""https://docs.google.com/spreadsheets/d/1BeghqumK0IvCmRd2QOy6_afsZq7ZtAGrSnVJy2u7WmY/edit?usp=share_link"",""นราธิวาส!L157"")+IMPORTRANGE(""https://docs.google.com/spreadsheets/d/1IwnW3-jjRf74MCLW-6P"&amp;"iFwMUffRQXZwZA7YM609NmRc/edit?usp=share_link"",""ปัตตานี!L157"")+IMPORTRANGE(""https://docs.google.com/spreadsheets/d/1vl4QWbWdFruual5o_wdo6ZSqXZ_it806oja4CctTLKs/edit?usp=share_link"",""พังงา!L157"")+IMPORTRANGE(""https://docs.google.com/spreadsheets/d/1"&amp;"b6QssHQp2FoAPSMKHOy273KNzAomaIKhtdlvuZ_zDNE/edit?usp=share_link"",""พัทลุง!L157"")+IMPORTRANGE(""https://docs.google.com/spreadsheets/d/1o7UZe4_OqlqtLDHrj01Z2YFRSZDf1DMy1n3XViHaxRc/edit?usp=share_link"",""ภูเก็ต!L157"")+IMPORTRANGE(""https://docs.google.c"&amp;"om/spreadsheets/d/1ctPm1vUzcUCPuOj9-eoHUD85PqINFqUB0TjdSWmR5-c/edit?usp=share_link"",""ยะลา!L157"")+IMPORTRANGE(""https://docs.google.com/spreadsheets/d/1YiDIE7Klmt8osgdapRqYWNr7iPGFSsiJqq46S7PYRE0/edit?usp=share_link"",""ระนอง!L157"")+IMPORTRANGE(""https"&amp;"://docs.google.com/spreadsheets/d/16o_4B-V7AWw_6E93bSpXj_XxVv1oVQctk-B6z1dNEWU/edit?usp=share_link"",""สงขลา!L157"")+IMPORTRANGE(""https://docs.google.com/spreadsheets/d/16cywr71Fj4fA5OGRHsZh30ZG2gwJhMAQv69oVBzYHv0/edit?usp=share_link"",""สตูล!L157"")+IMP"&amp;"ORTRANGE(""https://docs.google.com/spreadsheets/d/1vO9Sws6kMtrVtyvrAJptINXjK8TFBoX9xLYOVK_C8bQ/edit?usp=share_link"",""สุราษฎร์ธานี!L157"")"),0)</f>
        <v>0</v>
      </c>
      <c r="M157" s="44">
        <f ca="1">IFERROR(__xludf.DUMMYFUNCTION("IMPORTRANGE(""https://docs.google.com/spreadsheets/d/1kC41EOXpGBFOW658Fs3oD8beYlym0-zO54WY-2Qnp9I/edit?usp=share_link"",""กระบี่!M157"")
+IMPORTRANGE(""https://docs.google.com/spreadsheets/d/1FbzMZY_f3MDiEuK7RpCQKrilJ_kpX0Wm7QBZ1L7EjIU/edit?usp=share_link"&amp;""",""ชุมพร!M157"")+IMPORTRANGE(""https://docs.google.com/spreadsheets/d/1v5sN-00LrXuhBxw4dkh2GrG_z4l5oAqOdJRBCsUyMaM/edit?usp=share_link"",""ตรัง!M157"")+IMPORTRANGE(""https://docs.google.com/spreadsheets/d/1T5rRTzFc79aSIvqnzkZNvwPstq829QYz_xALlO1Z0s8/edi"&amp;"t?usp=share_link"",""นครศรีธรรมราช!M157"")+IMPORTRANGE(""https://docs.google.com/spreadsheets/d/1BeghqumK0IvCmRd2QOy6_afsZq7ZtAGrSnVJy2u7WmY/edit?usp=share_link"",""นราธิวาส!M157"")+IMPORTRANGE(""https://docs.google.com/spreadsheets/d/1IwnW3-jjRf74MCLW-6P"&amp;"iFwMUffRQXZwZA7YM609NmRc/edit?usp=share_link"",""ปัตตานี!M157"")+IMPORTRANGE(""https://docs.google.com/spreadsheets/d/1vl4QWbWdFruual5o_wdo6ZSqXZ_it806oja4CctTLKs/edit?usp=share_link"",""พังงา!M157"")+IMPORTRANGE(""https://docs.google.com/spreadsheets/d/1"&amp;"b6QssHQp2FoAPSMKHOy273KNzAomaIKhtdlvuZ_zDNE/edit?usp=share_link"",""พัทลุง!M157"")+IMPORTRANGE(""https://docs.google.com/spreadsheets/d/1o7UZe4_OqlqtLDHrj01Z2YFRSZDf1DMy1n3XViHaxRc/edit?usp=share_link"",""ภูเก็ต!M157"")+IMPORTRANGE(""https://docs.google.c"&amp;"om/spreadsheets/d/1ctPm1vUzcUCPuOj9-eoHUD85PqINFqUB0TjdSWmR5-c/edit?usp=share_link"",""ยะลา!M157"")+IMPORTRANGE(""https://docs.google.com/spreadsheets/d/1YiDIE7Klmt8osgdapRqYWNr7iPGFSsiJqq46S7PYRE0/edit?usp=share_link"",""ระนอง!M157"")+IMPORTRANGE(""https"&amp;"://docs.google.com/spreadsheets/d/16o_4B-V7AWw_6E93bSpXj_XxVv1oVQctk-B6z1dNEWU/edit?usp=share_link"",""สงขลา!M157"")+IMPORTRANGE(""https://docs.google.com/spreadsheets/d/16cywr71Fj4fA5OGRHsZh30ZG2gwJhMAQv69oVBzYHv0/edit?usp=share_link"",""สตูล!M157"")+IMP"&amp;"ORTRANGE(""https://docs.google.com/spreadsheets/d/1vO9Sws6kMtrVtyvrAJptINXjK8TFBoX9xLYOVK_C8bQ/edit?usp=share_link"",""สุราษฎร์ธานี!M157"")"),0)</f>
        <v>0</v>
      </c>
      <c r="N157" s="44">
        <f ca="1">IFERROR(__xludf.DUMMYFUNCTION("IMPORTRANGE(""https://docs.google.com/spreadsheets/d/1kC41EOXpGBFOW658Fs3oD8beYlym0-zO54WY-2Qnp9I/edit?usp=share_link"",""กระบี่!N157"")
+IMPORTRANGE(""https://docs.google.com/spreadsheets/d/1FbzMZY_f3MDiEuK7RpCQKrilJ_kpX0Wm7QBZ1L7EjIU/edit?usp=share_link"&amp;""",""ชุมพร!N157"")+IMPORTRANGE(""https://docs.google.com/spreadsheets/d/1v5sN-00LrXuhBxw4dkh2GrG_z4l5oAqOdJRBCsUyMaM/edit?usp=share_link"",""ตรัง!N157"")+IMPORTRANGE(""https://docs.google.com/spreadsheets/d/1T5rRTzFc79aSIvqnzkZNvwPstq829QYz_xALlO1Z0s8/edi"&amp;"t?usp=share_link"",""นครศรีธรรมราช!N157"")+IMPORTRANGE(""https://docs.google.com/spreadsheets/d/1BeghqumK0IvCmRd2QOy6_afsZq7ZtAGrSnVJy2u7WmY/edit?usp=share_link"",""นราธิวาส!N157"")+IMPORTRANGE(""https://docs.google.com/spreadsheets/d/1IwnW3-jjRf74MCLW-6P"&amp;"iFwMUffRQXZwZA7YM609NmRc/edit?usp=share_link"",""ปัตตานี!N157"")+IMPORTRANGE(""https://docs.google.com/spreadsheets/d/1vl4QWbWdFruual5o_wdo6ZSqXZ_it806oja4CctTLKs/edit?usp=share_link"",""พังงา!N157"")+IMPORTRANGE(""https://docs.google.com/spreadsheets/d/1"&amp;"b6QssHQp2FoAPSMKHOy273KNzAomaIKhtdlvuZ_zDNE/edit?usp=share_link"",""พัทลุง!N157"")+IMPORTRANGE(""https://docs.google.com/spreadsheets/d/1o7UZe4_OqlqtLDHrj01Z2YFRSZDf1DMy1n3XViHaxRc/edit?usp=share_link"",""ภูเก็ต!N157"")+IMPORTRANGE(""https://docs.google.c"&amp;"om/spreadsheets/d/1ctPm1vUzcUCPuOj9-eoHUD85PqINFqUB0TjdSWmR5-c/edit?usp=share_link"",""ยะลา!N157"")+IMPORTRANGE(""https://docs.google.com/spreadsheets/d/1YiDIE7Klmt8osgdapRqYWNr7iPGFSsiJqq46S7PYRE0/edit?usp=share_link"",""ระนอง!N157"")+IMPORTRANGE(""https"&amp;"://docs.google.com/spreadsheets/d/16o_4B-V7AWw_6E93bSpXj_XxVv1oVQctk-B6z1dNEWU/edit?usp=share_link"",""สงขลา!N157"")+IMPORTRANGE(""https://docs.google.com/spreadsheets/d/16cywr71Fj4fA5OGRHsZh30ZG2gwJhMAQv69oVBzYHv0/edit?usp=share_link"",""สตูล!N157"")+IMP"&amp;"ORTRANGE(""https://docs.google.com/spreadsheets/d/1vO9Sws6kMtrVtyvrAJptINXjK8TFBoX9xLYOVK_C8bQ/edit?usp=share_link"",""สุราษฎร์ธานี!N157"")"),0)</f>
        <v>0</v>
      </c>
      <c r="O157" s="44">
        <f t="shared" ca="1" si="96"/>
        <v>0</v>
      </c>
      <c r="P157" s="44">
        <f t="shared" ca="1" si="97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20.25" customHeight="1">
      <c r="A158" s="169"/>
      <c r="B158" s="170"/>
      <c r="C158" s="163" t="s">
        <v>16</v>
      </c>
      <c r="D158" s="171" t="s">
        <v>38</v>
      </c>
      <c r="E158" s="172"/>
      <c r="F158" s="172"/>
      <c r="G158" s="173"/>
      <c r="H158" s="167"/>
      <c r="I158" s="36"/>
      <c r="J158" s="36"/>
      <c r="K158" s="37"/>
      <c r="L158" s="37"/>
      <c r="M158" s="37"/>
      <c r="N158" s="37"/>
      <c r="O158" s="37"/>
      <c r="P158" s="37"/>
    </row>
    <row r="159" spans="1:26" ht="20.25" customHeight="1">
      <c r="A159" s="158"/>
      <c r="B159" s="32"/>
      <c r="C159" s="210"/>
      <c r="D159" s="215" t="s">
        <v>78</v>
      </c>
      <c r="E159" s="212"/>
      <c r="F159" s="32"/>
      <c r="G159" s="213"/>
      <c r="H159" s="167" t="s">
        <v>35</v>
      </c>
      <c r="I159" s="36">
        <f ca="1">IFERROR(__xludf.DUMMYFUNCTION("IMPORTRANGE(""https://docs.google.com/spreadsheets/d/1kC41EOXpGBFOW658Fs3oD8beYlym0-zO54WY-2Qnp9I/edit?usp=share_link"",""กระบี่!I159"")
+IMPORTRANGE(""https://docs.google.com/spreadsheets/d/1FbzMZY_f3MDiEuK7RpCQKrilJ_kpX0Wm7QBZ1L7EjIU/edit?usp=share_link"&amp;""",""ชุมพร!I159"")+IMPORTRANGE(""https://docs.google.com/spreadsheets/d/1v5sN-00LrXuhBxw4dkh2GrG_z4l5oAqOdJRBCsUyMaM/edit?usp=share_link"",""ตรัง!I159"")+IMPORTRANGE(""https://docs.google.com/spreadsheets/d/1T5rRTzFc79aSIvqnzkZNvwPstq829QYz_xALlO1Z0s8/edi"&amp;"t?usp=share_link"",""นครศรีธรรมราช!I159"")+IMPORTRANGE(""https://docs.google.com/spreadsheets/d/1BeghqumK0IvCmRd2QOy6_afsZq7ZtAGrSnVJy2u7WmY/edit?usp=share_link"",""นราธิวาส!I159"")+IMPORTRANGE(""https://docs.google.com/spreadsheets/d/1IwnW3-jjRf74MCLW-6P"&amp;"iFwMUffRQXZwZA7YM609NmRc/edit?usp=share_link"",""ปัตตานี!I159"")+IMPORTRANGE(""https://docs.google.com/spreadsheets/d/1vl4QWbWdFruual5o_wdo6ZSqXZ_it806oja4CctTLKs/edit?usp=share_link"",""พังงา!I159"")+IMPORTRANGE(""https://docs.google.com/spreadsheets/d/1"&amp;"b6QssHQp2FoAPSMKHOy273KNzAomaIKhtdlvuZ_zDNE/edit?usp=share_link"",""พัทลุง!I159"")+IMPORTRANGE(""https://docs.google.com/spreadsheets/d/1o7UZe4_OqlqtLDHrj01Z2YFRSZDf1DMy1n3XViHaxRc/edit?usp=share_link"",""ภูเก็ต!I159"")+IMPORTRANGE(""https://docs.google.c"&amp;"om/spreadsheets/d/1ctPm1vUzcUCPuOj9-eoHUD85PqINFqUB0TjdSWmR5-c/edit?usp=share_link"",""ยะลา!I159"")+IMPORTRANGE(""https://docs.google.com/spreadsheets/d/1YiDIE7Klmt8osgdapRqYWNr7iPGFSsiJqq46S7PYRE0/edit?usp=share_link"",""ระนอง!I159"")+IMPORTRANGE(""https"&amp;"://docs.google.com/spreadsheets/d/16o_4B-V7AWw_6E93bSpXj_XxVv1oVQctk-B6z1dNEWU/edit?usp=share_link"",""สงขลา!I159"")+IMPORTRANGE(""https://docs.google.com/spreadsheets/d/16cywr71Fj4fA5OGRHsZh30ZG2gwJhMAQv69oVBzYHv0/edit?usp=share_link"",""สตูล!I159"")+IMP"&amp;"ORTRANGE(""https://docs.google.com/spreadsheets/d/1vO9Sws6kMtrVtyvrAJptINXjK8TFBoX9xLYOVK_C8bQ/edit?usp=share_link"",""สุราษฎร์ธานี!I159"")"),40)</f>
        <v>40</v>
      </c>
      <c r="J159" s="182">
        <f ca="1">IFERROR(__xludf.DUMMYFUNCTION("IMPORTRANGE(""https://docs.google.com/spreadsheets/d/1kC41EOXpGBFOW658Fs3oD8beYlym0-zO54WY-2Qnp9I/edit?usp=share_link"",""กระบี่!J159"")
+IMPORTRANGE(""https://docs.google.com/spreadsheets/d/1FbzMZY_f3MDiEuK7RpCQKrilJ_kpX0Wm7QBZ1L7EjIU/edit?usp=share_link"&amp;""",""ชุมพร!J159"")+IMPORTRANGE(""https://docs.google.com/spreadsheets/d/1v5sN-00LrXuhBxw4dkh2GrG_z4l5oAqOdJRBCsUyMaM/edit?usp=share_link"",""ตรัง!J159"")+IMPORTRANGE(""https://docs.google.com/spreadsheets/d/1T5rRTzFc79aSIvqnzkZNvwPstq829QYz_xALlO1Z0s8/edi"&amp;"t?usp=share_link"",""นครศรีธรรมราช!J159"")+IMPORTRANGE(""https://docs.google.com/spreadsheets/d/1BeghqumK0IvCmRd2QOy6_afsZq7ZtAGrSnVJy2u7WmY/edit?usp=share_link"",""นราธิวาส!J159"")+IMPORTRANGE(""https://docs.google.com/spreadsheets/d/1IwnW3-jjRf74MCLW-6P"&amp;"iFwMUffRQXZwZA7YM609NmRc/edit?usp=share_link"",""ปัตตานี!J159"")+IMPORTRANGE(""https://docs.google.com/spreadsheets/d/1vl4QWbWdFruual5o_wdo6ZSqXZ_it806oja4CctTLKs/edit?usp=share_link"",""พังงา!J159"")+IMPORTRANGE(""https://docs.google.com/spreadsheets/d/1"&amp;"b6QssHQp2FoAPSMKHOy273KNzAomaIKhtdlvuZ_zDNE/edit?usp=share_link"",""พัทลุง!J159"")+IMPORTRANGE(""https://docs.google.com/spreadsheets/d/1o7UZe4_OqlqtLDHrj01Z2YFRSZDf1DMy1n3XViHaxRc/edit?usp=share_link"",""ภูเก็ต!J159"")+IMPORTRANGE(""https://docs.google.c"&amp;"om/spreadsheets/d/1ctPm1vUzcUCPuOj9-eoHUD85PqINFqUB0TjdSWmR5-c/edit?usp=share_link"",""ยะลา!J159"")+IMPORTRANGE(""https://docs.google.com/spreadsheets/d/1YiDIE7Klmt8osgdapRqYWNr7iPGFSsiJqq46S7PYRE0/edit?usp=share_link"",""ระนอง!J159"")+IMPORTRANGE(""https"&amp;"://docs.google.com/spreadsheets/d/16o_4B-V7AWw_6E93bSpXj_XxVv1oVQctk-B6z1dNEWU/edit?usp=share_link"",""สงขลา!J159"")+IMPORTRANGE(""https://docs.google.com/spreadsheets/d/16cywr71Fj4fA5OGRHsZh30ZG2gwJhMAQv69oVBzYHv0/edit?usp=share_link"",""สตูล!J159"")+IMP"&amp;"ORTRANGE(""https://docs.google.com/spreadsheets/d/1vO9Sws6kMtrVtyvrAJptINXjK8TFBoX9xLYOVK_C8bQ/edit?usp=share_link"",""สุราษฎร์ธานี!J159"")"),40)</f>
        <v>40</v>
      </c>
      <c r="K159" s="37">
        <f ca="1">IF(I159&gt;0,J159*100/I159,0)</f>
        <v>100</v>
      </c>
      <c r="L159" s="37"/>
      <c r="M159" s="37"/>
      <c r="N159" s="37"/>
      <c r="O159" s="37"/>
      <c r="P159" s="37"/>
    </row>
    <row r="160" spans="1:26" ht="20.25" hidden="1" customHeight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43"/>
      <c r="J160" s="43"/>
      <c r="K160" s="44"/>
      <c r="L160" s="44"/>
      <c r="M160" s="44"/>
      <c r="N160" s="44"/>
      <c r="O160" s="44"/>
      <c r="P160" s="4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20.25" hidden="1" customHeight="1">
      <c r="A161" s="225"/>
      <c r="B161" s="226"/>
      <c r="C161" s="227"/>
      <c r="D161" s="228" t="s">
        <v>80</v>
      </c>
      <c r="E161" s="22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20.25" customHeight="1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20.25" customHeight="1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20.25" customHeight="1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t="shared" ref="I164:J164" ca="1" si="102">I174+I177</f>
        <v>139</v>
      </c>
      <c r="J164" s="252">
        <f t="shared" ca="1" si="102"/>
        <v>139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20.25" customHeight="1">
      <c r="A165" s="146"/>
      <c r="B165" s="147"/>
      <c r="C165" s="148" t="s">
        <v>16</v>
      </c>
      <c r="D165" s="149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103">L166+L167</f>
        <v>271695</v>
      </c>
      <c r="M165" s="154">
        <f t="shared" ca="1" si="103"/>
        <v>958895</v>
      </c>
      <c r="N165" s="154">
        <f t="shared" ca="1" si="103"/>
        <v>958893</v>
      </c>
      <c r="O165" s="154">
        <f t="shared" ref="O165:O173" ca="1" si="104">IF(L165&gt;0,N165*100/L165,0)</f>
        <v>352.92993982222714</v>
      </c>
      <c r="P165" s="154">
        <f t="shared" ref="P165:P173" ca="1" si="105">IF(M165&gt;0,N165*100/M165,0)</f>
        <v>99.999791426589979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20.25" hidden="1" customHeight="1">
      <c r="A166" s="155"/>
      <c r="B166" s="39"/>
      <c r="C166" s="39"/>
      <c r="D166" s="39"/>
      <c r="E166" s="40" t="s">
        <v>18</v>
      </c>
      <c r="F166" s="39"/>
      <c r="G166" s="156"/>
      <c r="H166" s="157" t="s">
        <v>12</v>
      </c>
      <c r="I166" s="43"/>
      <c r="J166" s="43"/>
      <c r="K166" s="44"/>
      <c r="L166" s="44">
        <f t="shared" ref="L166:N166" si="106">L169+L172</f>
        <v>0</v>
      </c>
      <c r="M166" s="44">
        <f t="shared" si="106"/>
        <v>0</v>
      </c>
      <c r="N166" s="44">
        <f t="shared" si="106"/>
        <v>0</v>
      </c>
      <c r="O166" s="44">
        <f t="shared" si="104"/>
        <v>0</v>
      </c>
      <c r="P166" s="44">
        <f t="shared" si="105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20.25" hidden="1" customHeight="1">
      <c r="A167" s="155"/>
      <c r="B167" s="39"/>
      <c r="C167" s="39"/>
      <c r="D167" s="39"/>
      <c r="E167" s="40" t="s">
        <v>19</v>
      </c>
      <c r="F167" s="39"/>
      <c r="G167" s="156"/>
      <c r="H167" s="157" t="s">
        <v>12</v>
      </c>
      <c r="I167" s="43"/>
      <c r="J167" s="43"/>
      <c r="K167" s="44"/>
      <c r="L167" s="44">
        <f t="shared" ref="L167:N167" ca="1" si="107">L170+L173</f>
        <v>271695</v>
      </c>
      <c r="M167" s="44">
        <f t="shared" ca="1" si="107"/>
        <v>958895</v>
      </c>
      <c r="N167" s="44">
        <f t="shared" ca="1" si="107"/>
        <v>958893</v>
      </c>
      <c r="O167" s="44">
        <f t="shared" ca="1" si="104"/>
        <v>352.92993982222714</v>
      </c>
      <c r="P167" s="44">
        <f t="shared" ca="1" si="105"/>
        <v>99.999791426589979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20.25" customHeight="1">
      <c r="A168" s="158"/>
      <c r="B168" s="32"/>
      <c r="C168" s="159"/>
      <c r="D168" s="33" t="s">
        <v>20</v>
      </c>
      <c r="E168" s="32"/>
      <c r="F168" s="32"/>
      <c r="G168" s="34"/>
      <c r="H168" s="160" t="s">
        <v>12</v>
      </c>
      <c r="I168" s="161"/>
      <c r="J168" s="161"/>
      <c r="K168" s="162"/>
      <c r="L168" s="37">
        <f t="shared" ref="L168:N168" ca="1" si="108">L169+L170</f>
        <v>271695</v>
      </c>
      <c r="M168" s="37">
        <f t="shared" ca="1" si="108"/>
        <v>958895</v>
      </c>
      <c r="N168" s="37">
        <f t="shared" ca="1" si="108"/>
        <v>958893</v>
      </c>
      <c r="O168" s="37">
        <f t="shared" ca="1" si="104"/>
        <v>352.92993982222714</v>
      </c>
      <c r="P168" s="37">
        <f t="shared" ca="1" si="105"/>
        <v>99.999791426589979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20.25" hidden="1" customHeight="1">
      <c r="A169" s="155"/>
      <c r="B169" s="39"/>
      <c r="C169" s="163"/>
      <c r="D169" s="39"/>
      <c r="E169" s="40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44">
        <f t="shared" si="104"/>
        <v>0</v>
      </c>
      <c r="P169" s="44">
        <f t="shared" si="105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20.25" hidden="1" customHeight="1">
      <c r="A170" s="155"/>
      <c r="B170" s="39"/>
      <c r="C170" s="163"/>
      <c r="D170" s="39"/>
      <c r="E170" s="40" t="s">
        <v>37</v>
      </c>
      <c r="F170" s="39"/>
      <c r="G170" s="156"/>
      <c r="H170" s="164" t="s">
        <v>12</v>
      </c>
      <c r="I170" s="165"/>
      <c r="J170" s="165"/>
      <c r="K170" s="166"/>
      <c r="L170" s="44">
        <f ca="1">IFERROR(__xludf.DUMMYFUNCTION("IMPORTRANGE(""https://docs.google.com/spreadsheets/d/1kC41EOXpGBFOW658Fs3oD8beYlym0-zO54WY-2Qnp9I/edit?usp=share_link"",""กระบี่!L170"")
+IMPORTRANGE(""https://docs.google.com/spreadsheets/d/1FbzMZY_f3MDiEuK7RpCQKrilJ_kpX0Wm7QBZ1L7EjIU/edit?usp=share_link"&amp;""",""ชุมพร!L170"")+IMPORTRANGE(""https://docs.google.com/spreadsheets/d/1v5sN-00LrXuhBxw4dkh2GrG_z4l5oAqOdJRBCsUyMaM/edit?usp=share_link"",""ตรัง!L170"")+IMPORTRANGE(""https://docs.google.com/spreadsheets/d/1T5rRTzFc79aSIvqnzkZNvwPstq829QYz_xALlO1Z0s8/edi"&amp;"t?usp=share_link"",""นครศรีธรรมราช!L170"")+IMPORTRANGE(""https://docs.google.com/spreadsheets/d/1BeghqumK0IvCmRd2QOy6_afsZq7ZtAGrSnVJy2u7WmY/edit?usp=share_link"",""นราธิวาส!L170"")+IMPORTRANGE(""https://docs.google.com/spreadsheets/d/1IwnW3-jjRf74MCLW-6P"&amp;"iFwMUffRQXZwZA7YM609NmRc/edit?usp=share_link"",""ปัตตานี!L170"")+IMPORTRANGE(""https://docs.google.com/spreadsheets/d/1vl4QWbWdFruual5o_wdo6ZSqXZ_it806oja4CctTLKs/edit?usp=share_link"",""พังงา!L170"")+IMPORTRANGE(""https://docs.google.com/spreadsheets/d/1"&amp;"b6QssHQp2FoAPSMKHOy273KNzAomaIKhtdlvuZ_zDNE/edit?usp=share_link"",""พัทลุง!L170"")+IMPORTRANGE(""https://docs.google.com/spreadsheets/d/1o7UZe4_OqlqtLDHrj01Z2YFRSZDf1DMy1n3XViHaxRc/edit?usp=share_link"",""ภูเก็ต!L170"")+IMPORTRANGE(""https://docs.google.c"&amp;"om/spreadsheets/d/1ctPm1vUzcUCPuOj9-eoHUD85PqINFqUB0TjdSWmR5-c/edit?usp=share_link"",""ยะลา!L170"")+IMPORTRANGE(""https://docs.google.com/spreadsheets/d/1YiDIE7Klmt8osgdapRqYWNr7iPGFSsiJqq46S7PYRE0/edit?usp=share_link"",""ระนอง!L170"")+IMPORTRANGE(""https"&amp;"://docs.google.com/spreadsheets/d/16o_4B-V7AWw_6E93bSpXj_XxVv1oVQctk-B6z1dNEWU/edit?usp=share_link"",""สงขลา!L170"")+IMPORTRANGE(""https://docs.google.com/spreadsheets/d/16cywr71Fj4fA5OGRHsZh30ZG2gwJhMAQv69oVBzYHv0/edit?usp=share_link"",""สตูล!L170"")+IMP"&amp;"ORTRANGE(""https://docs.google.com/spreadsheets/d/1vO9Sws6kMtrVtyvrAJptINXjK8TFBoX9xLYOVK_C8bQ/edit?usp=share_link"",""สุราษฎร์ธานี!L170"")"),271695)</f>
        <v>271695</v>
      </c>
      <c r="M170" s="44">
        <f ca="1">IFERROR(__xludf.DUMMYFUNCTION("IMPORTRANGE(""https://docs.google.com/spreadsheets/d/1kC41EOXpGBFOW658Fs3oD8beYlym0-zO54WY-2Qnp9I/edit?usp=share_link"",""กระบี่!M170"")
+IMPORTRANGE(""https://docs.google.com/spreadsheets/d/1FbzMZY_f3MDiEuK7RpCQKrilJ_kpX0Wm7QBZ1L7EjIU/edit?usp=share_link"&amp;""",""ชุมพร!M170"")+IMPORTRANGE(""https://docs.google.com/spreadsheets/d/1v5sN-00LrXuhBxw4dkh2GrG_z4l5oAqOdJRBCsUyMaM/edit?usp=share_link"",""ตรัง!M170"")+IMPORTRANGE(""https://docs.google.com/spreadsheets/d/1T5rRTzFc79aSIvqnzkZNvwPstq829QYz_xALlO1Z0s8/edi"&amp;"t?usp=share_link"",""นครศรีธรรมราช!M170"")+IMPORTRANGE(""https://docs.google.com/spreadsheets/d/1BeghqumK0IvCmRd2QOy6_afsZq7ZtAGrSnVJy2u7WmY/edit?usp=share_link"",""นราธิวาส!M170"")+IMPORTRANGE(""https://docs.google.com/spreadsheets/d/1IwnW3-jjRf74MCLW-6P"&amp;"iFwMUffRQXZwZA7YM609NmRc/edit?usp=share_link"",""ปัตตานี!M170"")+IMPORTRANGE(""https://docs.google.com/spreadsheets/d/1vl4QWbWdFruual5o_wdo6ZSqXZ_it806oja4CctTLKs/edit?usp=share_link"",""พังงา!M170"")+IMPORTRANGE(""https://docs.google.com/spreadsheets/d/1"&amp;"b6QssHQp2FoAPSMKHOy273KNzAomaIKhtdlvuZ_zDNE/edit?usp=share_link"",""พัทลุง!M170"")+IMPORTRANGE(""https://docs.google.com/spreadsheets/d/1o7UZe4_OqlqtLDHrj01Z2YFRSZDf1DMy1n3XViHaxRc/edit?usp=share_link"",""ภูเก็ต!M170"")+IMPORTRANGE(""https://docs.google.c"&amp;"om/spreadsheets/d/1ctPm1vUzcUCPuOj9-eoHUD85PqINFqUB0TjdSWmR5-c/edit?usp=share_link"",""ยะลา!M170"")+IMPORTRANGE(""https://docs.google.com/spreadsheets/d/1YiDIE7Klmt8osgdapRqYWNr7iPGFSsiJqq46S7PYRE0/edit?usp=share_link"",""ระนอง!M170"")+IMPORTRANGE(""https"&amp;"://docs.google.com/spreadsheets/d/16o_4B-V7AWw_6E93bSpXj_XxVv1oVQctk-B6z1dNEWU/edit?usp=share_link"",""สงขลา!M170"")+IMPORTRANGE(""https://docs.google.com/spreadsheets/d/16cywr71Fj4fA5OGRHsZh30ZG2gwJhMAQv69oVBzYHv0/edit?usp=share_link"",""สตูล!M170"")+IMP"&amp;"ORTRANGE(""https://docs.google.com/spreadsheets/d/1vO9Sws6kMtrVtyvrAJptINXjK8TFBoX9xLYOVK_C8bQ/edit?usp=share_link"",""สุราษฎร์ธานี!M170"")"),958895)</f>
        <v>958895</v>
      </c>
      <c r="N170" s="44">
        <f ca="1">IFERROR(__xludf.DUMMYFUNCTION("IMPORTRANGE(""https://docs.google.com/spreadsheets/d/1kC41EOXpGBFOW658Fs3oD8beYlym0-zO54WY-2Qnp9I/edit?usp=share_link"",""กระบี่!N170"")
+IMPORTRANGE(""https://docs.google.com/spreadsheets/d/1FbzMZY_f3MDiEuK7RpCQKrilJ_kpX0Wm7QBZ1L7EjIU/edit?usp=share_link"&amp;""",""ชุมพร!N170"")+IMPORTRANGE(""https://docs.google.com/spreadsheets/d/1v5sN-00LrXuhBxw4dkh2GrG_z4l5oAqOdJRBCsUyMaM/edit?usp=share_link"",""ตรัง!N170"")+IMPORTRANGE(""https://docs.google.com/spreadsheets/d/1T5rRTzFc79aSIvqnzkZNvwPstq829QYz_xALlO1Z0s8/edi"&amp;"t?usp=share_link"",""นครศรีธรรมราช!N170"")+IMPORTRANGE(""https://docs.google.com/spreadsheets/d/1BeghqumK0IvCmRd2QOy6_afsZq7ZtAGrSnVJy2u7WmY/edit?usp=share_link"",""นราธิวาส!N170"")+IMPORTRANGE(""https://docs.google.com/spreadsheets/d/1IwnW3-jjRf74MCLW-6P"&amp;"iFwMUffRQXZwZA7YM609NmRc/edit?usp=share_link"",""ปัตตานี!N170"")+IMPORTRANGE(""https://docs.google.com/spreadsheets/d/1vl4QWbWdFruual5o_wdo6ZSqXZ_it806oja4CctTLKs/edit?usp=share_link"",""พังงา!N170"")+IMPORTRANGE(""https://docs.google.com/spreadsheets/d/1"&amp;"b6QssHQp2FoAPSMKHOy273KNzAomaIKhtdlvuZ_zDNE/edit?usp=share_link"",""พัทลุง!N170"")+IMPORTRANGE(""https://docs.google.com/spreadsheets/d/1o7UZe4_OqlqtLDHrj01Z2YFRSZDf1DMy1n3XViHaxRc/edit?usp=share_link"",""ภูเก็ต!N170"")+IMPORTRANGE(""https://docs.google.c"&amp;"om/spreadsheets/d/1ctPm1vUzcUCPuOj9-eoHUD85PqINFqUB0TjdSWmR5-c/edit?usp=share_link"",""ยะลา!N170"")+IMPORTRANGE(""https://docs.google.com/spreadsheets/d/1YiDIE7Klmt8osgdapRqYWNr7iPGFSsiJqq46S7PYRE0/edit?usp=share_link"",""ระนอง!N170"")+IMPORTRANGE(""https"&amp;"://docs.google.com/spreadsheets/d/16o_4B-V7AWw_6E93bSpXj_XxVv1oVQctk-B6z1dNEWU/edit?usp=share_link"",""สงขลา!N170"")+IMPORTRANGE(""https://docs.google.com/spreadsheets/d/16cywr71Fj4fA5OGRHsZh30ZG2gwJhMAQv69oVBzYHv0/edit?usp=share_link"",""สตูล!N170"")+IMP"&amp;"ORTRANGE(""https://docs.google.com/spreadsheets/d/1vO9Sws6kMtrVtyvrAJptINXjK8TFBoX9xLYOVK_C8bQ/edit?usp=share_link"",""สุราษฎร์ธานี!N170"")"),958893)</f>
        <v>958893</v>
      </c>
      <c r="O170" s="44">
        <f t="shared" ca="1" si="104"/>
        <v>352.92993982222714</v>
      </c>
      <c r="P170" s="44">
        <f t="shared" ca="1" si="105"/>
        <v>99.999791426589979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20.25" customHeight="1">
      <c r="A171" s="158"/>
      <c r="B171" s="32"/>
      <c r="C171" s="159"/>
      <c r="D171" s="33" t="s">
        <v>21</v>
      </c>
      <c r="E171" s="32"/>
      <c r="F171" s="32"/>
      <c r="G171" s="34"/>
      <c r="H171" s="167" t="s">
        <v>12</v>
      </c>
      <c r="I171" s="161"/>
      <c r="J171" s="161"/>
      <c r="K171" s="162"/>
      <c r="L171" s="37">
        <f t="shared" ref="L171:N171" ca="1" si="109">L172+L173</f>
        <v>0</v>
      </c>
      <c r="M171" s="37">
        <f t="shared" ca="1" si="109"/>
        <v>0</v>
      </c>
      <c r="N171" s="37">
        <f t="shared" ca="1" si="109"/>
        <v>0</v>
      </c>
      <c r="O171" s="37">
        <f t="shared" ca="1" si="104"/>
        <v>0</v>
      </c>
      <c r="P171" s="37">
        <f t="shared" ca="1" si="105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20.25" hidden="1" customHeight="1">
      <c r="A172" s="155"/>
      <c r="B172" s="39"/>
      <c r="C172" s="163"/>
      <c r="D172" s="39"/>
      <c r="E172" s="40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44">
        <f t="shared" si="104"/>
        <v>0</v>
      </c>
      <c r="P172" s="44">
        <f t="shared" si="105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20.25" hidden="1" customHeight="1">
      <c r="A173" s="155"/>
      <c r="B173" s="39"/>
      <c r="C173" s="163"/>
      <c r="D173" s="39"/>
      <c r="E173" s="40" t="s">
        <v>19</v>
      </c>
      <c r="F173" s="39"/>
      <c r="G173" s="156"/>
      <c r="H173" s="168" t="s">
        <v>12</v>
      </c>
      <c r="I173" s="165"/>
      <c r="J173" s="165"/>
      <c r="K173" s="166"/>
      <c r="L173" s="44">
        <f ca="1">IFERROR(__xludf.DUMMYFUNCTION("IMPORTRANGE(""https://docs.google.com/spreadsheets/d/1kC41EOXpGBFOW658Fs3oD8beYlym0-zO54WY-2Qnp9I/edit?usp=share_link"",""กระบี่!L173"")
+IMPORTRANGE(""https://docs.google.com/spreadsheets/d/1FbzMZY_f3MDiEuK7RpCQKrilJ_kpX0Wm7QBZ1L7EjIU/edit?usp=share_link"&amp;""",""ชุมพร!L173"")+IMPORTRANGE(""https://docs.google.com/spreadsheets/d/1v5sN-00LrXuhBxw4dkh2GrG_z4l5oAqOdJRBCsUyMaM/edit?usp=share_link"",""ตรัง!L173"")+IMPORTRANGE(""https://docs.google.com/spreadsheets/d/1T5rRTzFc79aSIvqnzkZNvwPstq829QYz_xALlO1Z0s8/edi"&amp;"t?usp=share_link"",""นครศรีธรรมราช!L173"")+IMPORTRANGE(""https://docs.google.com/spreadsheets/d/1BeghqumK0IvCmRd2QOy6_afsZq7ZtAGrSnVJy2u7WmY/edit?usp=share_link"",""นราธิวาส!L173"")+IMPORTRANGE(""https://docs.google.com/spreadsheets/d/1IwnW3-jjRf74MCLW-6P"&amp;"iFwMUffRQXZwZA7YM609NmRc/edit?usp=share_link"",""ปัตตานี!L173"")+IMPORTRANGE(""https://docs.google.com/spreadsheets/d/1vl4QWbWdFruual5o_wdo6ZSqXZ_it806oja4CctTLKs/edit?usp=share_link"",""พังงา!L173"")+IMPORTRANGE(""https://docs.google.com/spreadsheets/d/1"&amp;"b6QssHQp2FoAPSMKHOy273KNzAomaIKhtdlvuZ_zDNE/edit?usp=share_link"",""พัทลุง!L173"")+IMPORTRANGE(""https://docs.google.com/spreadsheets/d/1o7UZe4_OqlqtLDHrj01Z2YFRSZDf1DMy1n3XViHaxRc/edit?usp=share_link"",""ภูเก็ต!L173"")+IMPORTRANGE(""https://docs.google.c"&amp;"om/spreadsheets/d/1ctPm1vUzcUCPuOj9-eoHUD85PqINFqUB0TjdSWmR5-c/edit?usp=share_link"",""ยะลา!L173"")+IMPORTRANGE(""https://docs.google.com/spreadsheets/d/1YiDIE7Klmt8osgdapRqYWNr7iPGFSsiJqq46S7PYRE0/edit?usp=share_link"",""ระนอง!L173"")+IMPORTRANGE(""https"&amp;"://docs.google.com/spreadsheets/d/16o_4B-V7AWw_6E93bSpXj_XxVv1oVQctk-B6z1dNEWU/edit?usp=share_link"",""สงขลา!L173"")+IMPORTRANGE(""https://docs.google.com/spreadsheets/d/16cywr71Fj4fA5OGRHsZh30ZG2gwJhMAQv69oVBzYHv0/edit?usp=share_link"",""สตูล!L173"")+IMP"&amp;"ORTRANGE(""https://docs.google.com/spreadsheets/d/1vO9Sws6kMtrVtyvrAJptINXjK8TFBoX9xLYOVK_C8bQ/edit?usp=share_link"",""สุราษฎร์ธานี!L173"")"),0)</f>
        <v>0</v>
      </c>
      <c r="M173" s="44">
        <f ca="1">IFERROR(__xludf.DUMMYFUNCTION("IMPORTRANGE(""https://docs.google.com/spreadsheets/d/1kC41EOXpGBFOW658Fs3oD8beYlym0-zO54WY-2Qnp9I/edit?usp=share_link"",""กระบี่!M173"")
+IMPORTRANGE(""https://docs.google.com/spreadsheets/d/1FbzMZY_f3MDiEuK7RpCQKrilJ_kpX0Wm7QBZ1L7EjIU/edit?usp=share_link"&amp;""",""ชุมพร!M173"")+IMPORTRANGE(""https://docs.google.com/spreadsheets/d/1v5sN-00LrXuhBxw4dkh2GrG_z4l5oAqOdJRBCsUyMaM/edit?usp=share_link"",""ตรัง!M173"")+IMPORTRANGE(""https://docs.google.com/spreadsheets/d/1T5rRTzFc79aSIvqnzkZNvwPstq829QYz_xALlO1Z0s8/edi"&amp;"t?usp=share_link"",""นครศรีธรรมราช!M173"")+IMPORTRANGE(""https://docs.google.com/spreadsheets/d/1BeghqumK0IvCmRd2QOy6_afsZq7ZtAGrSnVJy2u7WmY/edit?usp=share_link"",""นราธิวาส!M173"")+IMPORTRANGE(""https://docs.google.com/spreadsheets/d/1IwnW3-jjRf74MCLW-6P"&amp;"iFwMUffRQXZwZA7YM609NmRc/edit?usp=share_link"",""ปัตตานี!M173"")+IMPORTRANGE(""https://docs.google.com/spreadsheets/d/1vl4QWbWdFruual5o_wdo6ZSqXZ_it806oja4CctTLKs/edit?usp=share_link"",""พังงา!M173"")+IMPORTRANGE(""https://docs.google.com/spreadsheets/d/1"&amp;"b6QssHQp2FoAPSMKHOy273KNzAomaIKhtdlvuZ_zDNE/edit?usp=share_link"",""พัทลุง!M173"")+IMPORTRANGE(""https://docs.google.com/spreadsheets/d/1o7UZe4_OqlqtLDHrj01Z2YFRSZDf1DMy1n3XViHaxRc/edit?usp=share_link"",""ภูเก็ต!M173"")+IMPORTRANGE(""https://docs.google.c"&amp;"om/spreadsheets/d/1ctPm1vUzcUCPuOj9-eoHUD85PqINFqUB0TjdSWmR5-c/edit?usp=share_link"",""ยะลา!M173"")+IMPORTRANGE(""https://docs.google.com/spreadsheets/d/1YiDIE7Klmt8osgdapRqYWNr7iPGFSsiJqq46S7PYRE0/edit?usp=share_link"",""ระนอง!M173"")+IMPORTRANGE(""https"&amp;"://docs.google.com/spreadsheets/d/16o_4B-V7AWw_6E93bSpXj_XxVv1oVQctk-B6z1dNEWU/edit?usp=share_link"",""สงขลา!M173"")+IMPORTRANGE(""https://docs.google.com/spreadsheets/d/16cywr71Fj4fA5OGRHsZh30ZG2gwJhMAQv69oVBzYHv0/edit?usp=share_link"",""สตูล!M173"")+IMP"&amp;"ORTRANGE(""https://docs.google.com/spreadsheets/d/1vO9Sws6kMtrVtyvrAJptINXjK8TFBoX9xLYOVK_C8bQ/edit?usp=share_link"",""สุราษฎร์ธานี!M173"")"),0)</f>
        <v>0</v>
      </c>
      <c r="N173" s="44">
        <f ca="1">IFERROR(__xludf.DUMMYFUNCTION("IMPORTRANGE(""https://docs.google.com/spreadsheets/d/1kC41EOXpGBFOW658Fs3oD8beYlym0-zO54WY-2Qnp9I/edit?usp=share_link"",""กระบี่!N173"")
+IMPORTRANGE(""https://docs.google.com/spreadsheets/d/1FbzMZY_f3MDiEuK7RpCQKrilJ_kpX0Wm7QBZ1L7EjIU/edit?usp=share_link"&amp;""",""ชุมพร!N173"")+IMPORTRANGE(""https://docs.google.com/spreadsheets/d/1v5sN-00LrXuhBxw4dkh2GrG_z4l5oAqOdJRBCsUyMaM/edit?usp=share_link"",""ตรัง!N173"")+IMPORTRANGE(""https://docs.google.com/spreadsheets/d/1T5rRTzFc79aSIvqnzkZNvwPstq829QYz_xALlO1Z0s8/edi"&amp;"t?usp=share_link"",""นครศรีธรรมราช!N173"")+IMPORTRANGE(""https://docs.google.com/spreadsheets/d/1BeghqumK0IvCmRd2QOy6_afsZq7ZtAGrSnVJy2u7WmY/edit?usp=share_link"",""นราธิวาส!N173"")+IMPORTRANGE(""https://docs.google.com/spreadsheets/d/1IwnW3-jjRf74MCLW-6P"&amp;"iFwMUffRQXZwZA7YM609NmRc/edit?usp=share_link"",""ปัตตานี!N173"")+IMPORTRANGE(""https://docs.google.com/spreadsheets/d/1vl4QWbWdFruual5o_wdo6ZSqXZ_it806oja4CctTLKs/edit?usp=share_link"",""พังงา!N173"")+IMPORTRANGE(""https://docs.google.com/spreadsheets/d/1"&amp;"b6QssHQp2FoAPSMKHOy273KNzAomaIKhtdlvuZ_zDNE/edit?usp=share_link"",""พัทลุง!N173"")+IMPORTRANGE(""https://docs.google.com/spreadsheets/d/1o7UZe4_OqlqtLDHrj01Z2YFRSZDf1DMy1n3XViHaxRc/edit?usp=share_link"",""ภูเก็ต!N173"")+IMPORTRANGE(""https://docs.google.c"&amp;"om/spreadsheets/d/1ctPm1vUzcUCPuOj9-eoHUD85PqINFqUB0TjdSWmR5-c/edit?usp=share_link"",""ยะลา!N173"")+IMPORTRANGE(""https://docs.google.com/spreadsheets/d/1YiDIE7Klmt8osgdapRqYWNr7iPGFSsiJqq46S7PYRE0/edit?usp=share_link"",""ระนอง!N173"")+IMPORTRANGE(""https"&amp;"://docs.google.com/spreadsheets/d/16o_4B-V7AWw_6E93bSpXj_XxVv1oVQctk-B6z1dNEWU/edit?usp=share_link"",""สงขลา!N173"")+IMPORTRANGE(""https://docs.google.com/spreadsheets/d/16cywr71Fj4fA5OGRHsZh30ZG2gwJhMAQv69oVBzYHv0/edit?usp=share_link"",""สตูล!N173"")+IMP"&amp;"ORTRANGE(""https://docs.google.com/spreadsheets/d/1vO9Sws6kMtrVtyvrAJptINXjK8TFBoX9xLYOVK_C8bQ/edit?usp=share_link"",""สุราษฎร์ธานี!N173"")"),0)</f>
        <v>0</v>
      </c>
      <c r="O173" s="44">
        <f t="shared" ca="1" si="104"/>
        <v>0</v>
      </c>
      <c r="P173" s="44">
        <f t="shared" ca="1" si="105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20.25" customHeight="1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110">I176</f>
        <v>139</v>
      </c>
      <c r="J174" s="260">
        <f t="shared" ca="1" si="110"/>
        <v>139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20.25" customHeight="1">
      <c r="A175" s="169"/>
      <c r="B175" s="170"/>
      <c r="C175" s="163" t="s">
        <v>16</v>
      </c>
      <c r="D175" s="171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20.25" customHeight="1">
      <c r="A176" s="169"/>
      <c r="B176" s="170"/>
      <c r="C176" s="170"/>
      <c r="D176" s="262" t="s">
        <v>85</v>
      </c>
      <c r="E176" s="177"/>
      <c r="F176" s="177"/>
      <c r="G176" s="178"/>
      <c r="H176" s="35" t="s">
        <v>35</v>
      </c>
      <c r="I176" s="36">
        <f ca="1">IFERROR(__xludf.DUMMYFUNCTION("IMPORTRANGE(""https://docs.google.com/spreadsheets/d/1kC41EOXpGBFOW658Fs3oD8beYlym0-zO54WY-2Qnp9I/edit?usp=share_link"",""กระบี่!I176"")
+IMPORTRANGE(""https://docs.google.com/spreadsheets/d/1FbzMZY_f3MDiEuK7RpCQKrilJ_kpX0Wm7QBZ1L7EjIU/edit?usp=share_link"&amp;""",""ชุมพร!I176"")+IMPORTRANGE(""https://docs.google.com/spreadsheets/d/1v5sN-00LrXuhBxw4dkh2GrG_z4l5oAqOdJRBCsUyMaM/edit?usp=share_link"",""ตรัง!I176"")+IMPORTRANGE(""https://docs.google.com/spreadsheets/d/1T5rRTzFc79aSIvqnzkZNvwPstq829QYz_xALlO1Z0s8/edi"&amp;"t?usp=share_link"",""นครศรีธรรมราช!I176"")+IMPORTRANGE(""https://docs.google.com/spreadsheets/d/1BeghqumK0IvCmRd2QOy6_afsZq7ZtAGrSnVJy2u7WmY/edit?usp=share_link"",""นราธิวาส!I176"")+IMPORTRANGE(""https://docs.google.com/spreadsheets/d/1IwnW3-jjRf74MCLW-6P"&amp;"iFwMUffRQXZwZA7YM609NmRc/edit?usp=share_link"",""ปัตตานี!I176"")+IMPORTRANGE(""https://docs.google.com/spreadsheets/d/1vl4QWbWdFruual5o_wdo6ZSqXZ_it806oja4CctTLKs/edit?usp=share_link"",""พังงา!I176"")+IMPORTRANGE(""https://docs.google.com/spreadsheets/d/1"&amp;"b6QssHQp2FoAPSMKHOy273KNzAomaIKhtdlvuZ_zDNE/edit?usp=share_link"",""พัทลุง!I176"")+IMPORTRANGE(""https://docs.google.com/spreadsheets/d/1o7UZe4_OqlqtLDHrj01Z2YFRSZDf1DMy1n3XViHaxRc/edit?usp=share_link"",""ภูเก็ต!I176"")+IMPORTRANGE(""https://docs.google.c"&amp;"om/spreadsheets/d/1ctPm1vUzcUCPuOj9-eoHUD85PqINFqUB0TjdSWmR5-c/edit?usp=share_link"",""ยะลา!I176"")+IMPORTRANGE(""https://docs.google.com/spreadsheets/d/1YiDIE7Klmt8osgdapRqYWNr7iPGFSsiJqq46S7PYRE0/edit?usp=share_link"",""ระนอง!I176"")+IMPORTRANGE(""https"&amp;"://docs.google.com/spreadsheets/d/16o_4B-V7AWw_6E93bSpXj_XxVv1oVQctk-B6z1dNEWU/edit?usp=share_link"",""สงขลา!I176"")+IMPORTRANGE(""https://docs.google.com/spreadsheets/d/16cywr71Fj4fA5OGRHsZh30ZG2gwJhMAQv69oVBzYHv0/edit?usp=share_link"",""สตูล!I176"")+IMP"&amp;"ORTRANGE(""https://docs.google.com/spreadsheets/d/1vO9Sws6kMtrVtyvrAJptINXjK8TFBoX9xLYOVK_C8bQ/edit?usp=share_link"",""สุราษฎร์ธานี!I176"")"),139)</f>
        <v>139</v>
      </c>
      <c r="J176" s="182">
        <f ca="1">IFERROR(__xludf.DUMMYFUNCTION("IMPORTRANGE(""https://docs.google.com/spreadsheets/d/1kC41EOXpGBFOW658Fs3oD8beYlym0-zO54WY-2Qnp9I/edit?usp=share_link"",""กระบี่!J176"")
+IMPORTRANGE(""https://docs.google.com/spreadsheets/d/1FbzMZY_f3MDiEuK7RpCQKrilJ_kpX0Wm7QBZ1L7EjIU/edit?usp=share_link"&amp;""",""ชุมพร!J176"")+IMPORTRANGE(""https://docs.google.com/spreadsheets/d/1v5sN-00LrXuhBxw4dkh2GrG_z4l5oAqOdJRBCsUyMaM/edit?usp=share_link"",""ตรัง!J176"")+IMPORTRANGE(""https://docs.google.com/spreadsheets/d/1T5rRTzFc79aSIvqnzkZNvwPstq829QYz_xALlO1Z0s8/edi"&amp;"t?usp=share_link"",""นครศรีธรรมราช!J176"")+IMPORTRANGE(""https://docs.google.com/spreadsheets/d/1BeghqumK0IvCmRd2QOy6_afsZq7ZtAGrSnVJy2u7WmY/edit?usp=share_link"",""นราธิวาส!J176"")+IMPORTRANGE(""https://docs.google.com/spreadsheets/d/1IwnW3-jjRf74MCLW-6P"&amp;"iFwMUffRQXZwZA7YM609NmRc/edit?usp=share_link"",""ปัตตานี!J176"")+IMPORTRANGE(""https://docs.google.com/spreadsheets/d/1vl4QWbWdFruual5o_wdo6ZSqXZ_it806oja4CctTLKs/edit?usp=share_link"",""พังงา!J176"")+IMPORTRANGE(""https://docs.google.com/spreadsheets/d/1"&amp;"b6QssHQp2FoAPSMKHOy273KNzAomaIKhtdlvuZ_zDNE/edit?usp=share_link"",""พัทลุง!J176"")+IMPORTRANGE(""https://docs.google.com/spreadsheets/d/1o7UZe4_OqlqtLDHrj01Z2YFRSZDf1DMy1n3XViHaxRc/edit?usp=share_link"",""ภูเก็ต!J176"")+IMPORTRANGE(""https://docs.google.c"&amp;"om/spreadsheets/d/1ctPm1vUzcUCPuOj9-eoHUD85PqINFqUB0TjdSWmR5-c/edit?usp=share_link"",""ยะลา!J176"")+IMPORTRANGE(""https://docs.google.com/spreadsheets/d/1YiDIE7Klmt8osgdapRqYWNr7iPGFSsiJqq46S7PYRE0/edit?usp=share_link"",""ระนอง!J176"")+IMPORTRANGE(""https"&amp;"://docs.google.com/spreadsheets/d/16o_4B-V7AWw_6E93bSpXj_XxVv1oVQctk-B6z1dNEWU/edit?usp=share_link"",""สงขลา!J176"")+IMPORTRANGE(""https://docs.google.com/spreadsheets/d/16cywr71Fj4fA5OGRHsZh30ZG2gwJhMAQv69oVBzYHv0/edit?usp=share_link"",""สตูล!J176"")+IMP"&amp;"ORTRANGE(""https://docs.google.com/spreadsheets/d/1vO9Sws6kMtrVtyvrAJptINXjK8TFBoX9xLYOVK_C8bQ/edit?usp=share_link"",""สุราษฎร์ธานี!J176"")"),139)</f>
        <v>139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20.25" hidden="1" customHeight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20.25" hidden="1" customHeight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20.25" hidden="1" customHeight="1">
      <c r="A179" s="169"/>
      <c r="B179" s="170"/>
      <c r="C179" s="170"/>
      <c r="D179" s="267" t="s">
        <v>87</v>
      </c>
      <c r="E179" s="177"/>
      <c r="F179" s="268"/>
      <c r="G179" s="178"/>
      <c r="H179" s="42" t="s">
        <v>35</v>
      </c>
      <c r="I179" s="36"/>
      <c r="J179" s="269"/>
      <c r="K179" s="162"/>
      <c r="L179" s="162"/>
      <c r="M179" s="162"/>
      <c r="N179" s="162"/>
      <c r="O179" s="162"/>
      <c r="P179" s="162"/>
    </row>
    <row r="180" spans="1:26" ht="20.25" customHeight="1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t="shared" ref="I180:J180" ca="1" si="111">I225+I226</f>
        <v>140</v>
      </c>
      <c r="J180" s="252">
        <f t="shared" ca="1" si="111"/>
        <v>150</v>
      </c>
      <c r="K180" s="253">
        <f ca="1">IF(I180&gt;0,J180*100/I180,0)</f>
        <v>107.14285714285714</v>
      </c>
      <c r="L180" s="254"/>
      <c r="M180" s="254"/>
      <c r="N180" s="254"/>
      <c r="O180" s="254"/>
      <c r="P180" s="254"/>
    </row>
    <row r="181" spans="1:26" ht="20.25" customHeight="1">
      <c r="A181" s="146"/>
      <c r="B181" s="147"/>
      <c r="C181" s="148" t="s">
        <v>16</v>
      </c>
      <c r="D181" s="149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112">L182+L183</f>
        <v>2070000</v>
      </c>
      <c r="M181" s="154">
        <f t="shared" ca="1" si="112"/>
        <v>2440250</v>
      </c>
      <c r="N181" s="154">
        <f t="shared" ca="1" si="112"/>
        <v>2440250</v>
      </c>
      <c r="O181" s="154">
        <f t="shared" ref="O181:O189" ca="1" si="113">IF(L181&gt;0,N181*100/L181,0)</f>
        <v>117.88647342995169</v>
      </c>
      <c r="P181" s="154">
        <f t="shared" ref="P181:P189" ca="1" si="114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20.25" hidden="1" customHeight="1">
      <c r="A182" s="155"/>
      <c r="B182" s="39"/>
      <c r="C182" s="39"/>
      <c r="D182" s="39"/>
      <c r="E182" s="40" t="s">
        <v>18</v>
      </c>
      <c r="F182" s="39"/>
      <c r="G182" s="156"/>
      <c r="H182" s="157" t="s">
        <v>12</v>
      </c>
      <c r="I182" s="43"/>
      <c r="J182" s="43"/>
      <c r="K182" s="44"/>
      <c r="L182" s="44">
        <f t="shared" ref="L182:N182" si="115">L185+L188</f>
        <v>0</v>
      </c>
      <c r="M182" s="44">
        <f t="shared" si="115"/>
        <v>0</v>
      </c>
      <c r="N182" s="44">
        <f t="shared" si="115"/>
        <v>0</v>
      </c>
      <c r="O182" s="44">
        <f t="shared" si="113"/>
        <v>0</v>
      </c>
      <c r="P182" s="44">
        <f t="shared" si="114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20.25" hidden="1" customHeight="1">
      <c r="A183" s="155"/>
      <c r="B183" s="39"/>
      <c r="C183" s="39"/>
      <c r="D183" s="39"/>
      <c r="E183" s="40" t="s">
        <v>19</v>
      </c>
      <c r="F183" s="39"/>
      <c r="G183" s="156"/>
      <c r="H183" s="157" t="s">
        <v>12</v>
      </c>
      <c r="I183" s="43"/>
      <c r="J183" s="43"/>
      <c r="K183" s="44"/>
      <c r="L183" s="44">
        <f t="shared" ref="L183:N183" ca="1" si="116">L186+L189</f>
        <v>2070000</v>
      </c>
      <c r="M183" s="44">
        <f t="shared" ca="1" si="116"/>
        <v>2440250</v>
      </c>
      <c r="N183" s="44">
        <f t="shared" ca="1" si="116"/>
        <v>2440250</v>
      </c>
      <c r="O183" s="44">
        <f t="shared" ca="1" si="113"/>
        <v>117.88647342995169</v>
      </c>
      <c r="P183" s="44">
        <f t="shared" ca="1" si="114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20.25" customHeight="1">
      <c r="A184" s="158"/>
      <c r="B184" s="32"/>
      <c r="C184" s="159"/>
      <c r="D184" s="33" t="s">
        <v>20</v>
      </c>
      <c r="E184" s="32"/>
      <c r="F184" s="32"/>
      <c r="G184" s="34"/>
      <c r="H184" s="160" t="s">
        <v>12</v>
      </c>
      <c r="I184" s="161"/>
      <c r="J184" s="161"/>
      <c r="K184" s="162"/>
      <c r="L184" s="37">
        <f t="shared" ref="L184:N184" ca="1" si="117">L185+L186</f>
        <v>2070000</v>
      </c>
      <c r="M184" s="37">
        <f t="shared" ca="1" si="117"/>
        <v>2440250</v>
      </c>
      <c r="N184" s="37">
        <f t="shared" ca="1" si="117"/>
        <v>2440250</v>
      </c>
      <c r="O184" s="37">
        <f t="shared" ca="1" si="113"/>
        <v>117.88647342995169</v>
      </c>
      <c r="P184" s="37">
        <f t="shared" ca="1" si="114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20.25" hidden="1" customHeight="1">
      <c r="A185" s="155"/>
      <c r="B185" s="39"/>
      <c r="C185" s="163"/>
      <c r="D185" s="39"/>
      <c r="E185" s="40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44">
        <f t="shared" si="113"/>
        <v>0</v>
      </c>
      <c r="P185" s="44">
        <f t="shared" si="114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20.25" hidden="1" customHeight="1">
      <c r="A186" s="155"/>
      <c r="B186" s="39"/>
      <c r="C186" s="163"/>
      <c r="D186" s="39"/>
      <c r="E186" s="40" t="s">
        <v>37</v>
      </c>
      <c r="F186" s="39"/>
      <c r="G186" s="156"/>
      <c r="H186" s="164" t="s">
        <v>12</v>
      </c>
      <c r="I186" s="165"/>
      <c r="J186" s="165"/>
      <c r="K186" s="166"/>
      <c r="L186" s="44">
        <f ca="1">IFERROR(__xludf.DUMMYFUNCTION("IMPORTRANGE(""https://docs.google.com/spreadsheets/d/1kC41EOXpGBFOW658Fs3oD8beYlym0-zO54WY-2Qnp9I/edit?usp=share_link"",""กระบี่!L186"")
+IMPORTRANGE(""https://docs.google.com/spreadsheets/d/1FbzMZY_f3MDiEuK7RpCQKrilJ_kpX0Wm7QBZ1L7EjIU/edit?usp=share_link"&amp;""",""ชุมพร!L186"")+IMPORTRANGE(""https://docs.google.com/spreadsheets/d/1v5sN-00LrXuhBxw4dkh2GrG_z4l5oAqOdJRBCsUyMaM/edit?usp=share_link"",""ตรัง!L186"")+IMPORTRANGE(""https://docs.google.com/spreadsheets/d/1T5rRTzFc79aSIvqnzkZNvwPstq829QYz_xALlO1Z0s8/edi"&amp;"t?usp=share_link"",""นครศรีธรรมราช!L186"")+IMPORTRANGE(""https://docs.google.com/spreadsheets/d/1BeghqumK0IvCmRd2QOy6_afsZq7ZtAGrSnVJy2u7WmY/edit?usp=share_link"",""นราธิวาส!L186"")+IMPORTRANGE(""https://docs.google.com/spreadsheets/d/1IwnW3-jjRf74MCLW-6P"&amp;"iFwMUffRQXZwZA7YM609NmRc/edit?usp=share_link"",""ปัตตานี!L186"")+IMPORTRANGE(""https://docs.google.com/spreadsheets/d/1vl4QWbWdFruual5o_wdo6ZSqXZ_it806oja4CctTLKs/edit?usp=share_link"",""พังงา!L186"")+IMPORTRANGE(""https://docs.google.com/spreadsheets/d/1"&amp;"b6QssHQp2FoAPSMKHOy273KNzAomaIKhtdlvuZ_zDNE/edit?usp=share_link"",""พัทลุง!L186"")+IMPORTRANGE(""https://docs.google.com/spreadsheets/d/1o7UZe4_OqlqtLDHrj01Z2YFRSZDf1DMy1n3XViHaxRc/edit?usp=share_link"",""ภูเก็ต!L186"")+IMPORTRANGE(""https://docs.google.c"&amp;"om/spreadsheets/d/1ctPm1vUzcUCPuOj9-eoHUD85PqINFqUB0TjdSWmR5-c/edit?usp=share_link"",""ยะลา!L186"")+IMPORTRANGE(""https://docs.google.com/spreadsheets/d/1YiDIE7Klmt8osgdapRqYWNr7iPGFSsiJqq46S7PYRE0/edit?usp=share_link"",""ระนอง!L186"")+IMPORTRANGE(""https"&amp;"://docs.google.com/spreadsheets/d/16o_4B-V7AWw_6E93bSpXj_XxVv1oVQctk-B6z1dNEWU/edit?usp=share_link"",""สงขลา!L186"")+IMPORTRANGE(""https://docs.google.com/spreadsheets/d/16cywr71Fj4fA5OGRHsZh30ZG2gwJhMAQv69oVBzYHv0/edit?usp=share_link"",""สตูล!L186"")+IMP"&amp;"ORTRANGE(""https://docs.google.com/spreadsheets/d/1vO9Sws6kMtrVtyvrAJptINXjK8TFBoX9xLYOVK_C8bQ/edit?usp=share_link"",""สุราษฎร์ธานี!L186"")"),2070000)</f>
        <v>2070000</v>
      </c>
      <c r="M186" s="44">
        <f ca="1">IFERROR(__xludf.DUMMYFUNCTION("IMPORTRANGE(""https://docs.google.com/spreadsheets/d/1kC41EOXpGBFOW658Fs3oD8beYlym0-zO54WY-2Qnp9I/edit?usp=share_link"",""กระบี่!M186"")
+IMPORTRANGE(""https://docs.google.com/spreadsheets/d/1FbzMZY_f3MDiEuK7RpCQKrilJ_kpX0Wm7QBZ1L7EjIU/edit?usp=share_link"&amp;""",""ชุมพร!M186"")+IMPORTRANGE(""https://docs.google.com/spreadsheets/d/1v5sN-00LrXuhBxw4dkh2GrG_z4l5oAqOdJRBCsUyMaM/edit?usp=share_link"",""ตรัง!M186"")+IMPORTRANGE(""https://docs.google.com/spreadsheets/d/1T5rRTzFc79aSIvqnzkZNvwPstq829QYz_xALlO1Z0s8/edi"&amp;"t?usp=share_link"",""นครศรีธรรมราช!M186"")+IMPORTRANGE(""https://docs.google.com/spreadsheets/d/1BeghqumK0IvCmRd2QOy6_afsZq7ZtAGrSnVJy2u7WmY/edit?usp=share_link"",""นราธิวาส!M186"")+IMPORTRANGE(""https://docs.google.com/spreadsheets/d/1IwnW3-jjRf74MCLW-6P"&amp;"iFwMUffRQXZwZA7YM609NmRc/edit?usp=share_link"",""ปัตตานี!M186"")+IMPORTRANGE(""https://docs.google.com/spreadsheets/d/1vl4QWbWdFruual5o_wdo6ZSqXZ_it806oja4CctTLKs/edit?usp=share_link"",""พังงา!M186"")+IMPORTRANGE(""https://docs.google.com/spreadsheets/d/1"&amp;"b6QssHQp2FoAPSMKHOy273KNzAomaIKhtdlvuZ_zDNE/edit?usp=share_link"",""พัทลุง!M186"")+IMPORTRANGE(""https://docs.google.com/spreadsheets/d/1o7UZe4_OqlqtLDHrj01Z2YFRSZDf1DMy1n3XViHaxRc/edit?usp=share_link"",""ภูเก็ต!M186"")+IMPORTRANGE(""https://docs.google.c"&amp;"om/spreadsheets/d/1ctPm1vUzcUCPuOj9-eoHUD85PqINFqUB0TjdSWmR5-c/edit?usp=share_link"",""ยะลา!M186"")+IMPORTRANGE(""https://docs.google.com/spreadsheets/d/1YiDIE7Klmt8osgdapRqYWNr7iPGFSsiJqq46S7PYRE0/edit?usp=share_link"",""ระนอง!M186"")+IMPORTRANGE(""https"&amp;"://docs.google.com/spreadsheets/d/16o_4B-V7AWw_6E93bSpXj_XxVv1oVQctk-B6z1dNEWU/edit?usp=share_link"",""สงขลา!M186"")+IMPORTRANGE(""https://docs.google.com/spreadsheets/d/16cywr71Fj4fA5OGRHsZh30ZG2gwJhMAQv69oVBzYHv0/edit?usp=share_link"",""สตูล!M186"")+IMP"&amp;"ORTRANGE(""https://docs.google.com/spreadsheets/d/1vO9Sws6kMtrVtyvrAJptINXjK8TFBoX9xLYOVK_C8bQ/edit?usp=share_link"",""สุราษฎร์ธานี!M186"")"),2440250)</f>
        <v>2440250</v>
      </c>
      <c r="N186" s="44">
        <f ca="1">IFERROR(__xludf.DUMMYFUNCTION("IMPORTRANGE(""https://docs.google.com/spreadsheets/d/1kC41EOXpGBFOW658Fs3oD8beYlym0-zO54WY-2Qnp9I/edit?usp=share_link"",""กระบี่!N186"")
+IMPORTRANGE(""https://docs.google.com/spreadsheets/d/1FbzMZY_f3MDiEuK7RpCQKrilJ_kpX0Wm7QBZ1L7EjIU/edit?usp=share_link"&amp;""",""ชุมพร!N186"")+IMPORTRANGE(""https://docs.google.com/spreadsheets/d/1v5sN-00LrXuhBxw4dkh2GrG_z4l5oAqOdJRBCsUyMaM/edit?usp=share_link"",""ตรัง!N186"")+IMPORTRANGE(""https://docs.google.com/spreadsheets/d/1T5rRTzFc79aSIvqnzkZNvwPstq829QYz_xALlO1Z0s8/edi"&amp;"t?usp=share_link"",""นครศรีธรรมราช!N186"")+IMPORTRANGE(""https://docs.google.com/spreadsheets/d/1BeghqumK0IvCmRd2QOy6_afsZq7ZtAGrSnVJy2u7WmY/edit?usp=share_link"",""นราธิวาส!N186"")+IMPORTRANGE(""https://docs.google.com/spreadsheets/d/1IwnW3-jjRf74MCLW-6P"&amp;"iFwMUffRQXZwZA7YM609NmRc/edit?usp=share_link"",""ปัตตานี!N186"")+IMPORTRANGE(""https://docs.google.com/spreadsheets/d/1vl4QWbWdFruual5o_wdo6ZSqXZ_it806oja4CctTLKs/edit?usp=share_link"",""พังงา!N186"")+IMPORTRANGE(""https://docs.google.com/spreadsheets/d/1"&amp;"b6QssHQp2FoAPSMKHOy273KNzAomaIKhtdlvuZ_zDNE/edit?usp=share_link"",""พัทลุง!N186"")+IMPORTRANGE(""https://docs.google.com/spreadsheets/d/1o7UZe4_OqlqtLDHrj01Z2YFRSZDf1DMy1n3XViHaxRc/edit?usp=share_link"",""ภูเก็ต!N186"")+IMPORTRANGE(""https://docs.google.c"&amp;"om/spreadsheets/d/1ctPm1vUzcUCPuOj9-eoHUD85PqINFqUB0TjdSWmR5-c/edit?usp=share_link"",""ยะลา!N186"")+IMPORTRANGE(""https://docs.google.com/spreadsheets/d/1YiDIE7Klmt8osgdapRqYWNr7iPGFSsiJqq46S7PYRE0/edit?usp=share_link"",""ระนอง!N186"")+IMPORTRANGE(""https"&amp;"://docs.google.com/spreadsheets/d/16o_4B-V7AWw_6E93bSpXj_XxVv1oVQctk-B6z1dNEWU/edit?usp=share_link"",""สงขลา!N186"")+IMPORTRANGE(""https://docs.google.com/spreadsheets/d/16cywr71Fj4fA5OGRHsZh30ZG2gwJhMAQv69oVBzYHv0/edit?usp=share_link"",""สตูล!N186"")+IMP"&amp;"ORTRANGE(""https://docs.google.com/spreadsheets/d/1vO9Sws6kMtrVtyvrAJptINXjK8TFBoX9xLYOVK_C8bQ/edit?usp=share_link"",""สุราษฎร์ธานี!N186"")"),2440250)</f>
        <v>2440250</v>
      </c>
      <c r="O186" s="44">
        <f t="shared" ca="1" si="113"/>
        <v>117.88647342995169</v>
      </c>
      <c r="P186" s="44">
        <f t="shared" ca="1" si="114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20.25" customHeight="1">
      <c r="A187" s="158"/>
      <c r="B187" s="32"/>
      <c r="C187" s="159"/>
      <c r="D187" s="33" t="s">
        <v>21</v>
      </c>
      <c r="E187" s="32"/>
      <c r="F187" s="32"/>
      <c r="G187" s="34"/>
      <c r="H187" s="167" t="s">
        <v>12</v>
      </c>
      <c r="I187" s="161"/>
      <c r="J187" s="161"/>
      <c r="K187" s="162"/>
      <c r="L187" s="37">
        <f t="shared" ref="L187:N187" ca="1" si="118">L188+L189</f>
        <v>0</v>
      </c>
      <c r="M187" s="37">
        <f t="shared" ca="1" si="118"/>
        <v>0</v>
      </c>
      <c r="N187" s="37">
        <f t="shared" ca="1" si="118"/>
        <v>0</v>
      </c>
      <c r="O187" s="37">
        <f t="shared" ca="1" si="113"/>
        <v>0</v>
      </c>
      <c r="P187" s="37">
        <f t="shared" ca="1" si="114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20.25" hidden="1" customHeight="1">
      <c r="A188" s="155"/>
      <c r="B188" s="39"/>
      <c r="C188" s="163"/>
      <c r="D188" s="39"/>
      <c r="E188" s="40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44">
        <f t="shared" si="113"/>
        <v>0</v>
      </c>
      <c r="P188" s="44">
        <f t="shared" si="114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20.25" hidden="1" customHeight="1">
      <c r="A189" s="155"/>
      <c r="B189" s="39"/>
      <c r="C189" s="163"/>
      <c r="D189" s="39"/>
      <c r="E189" s="40" t="s">
        <v>19</v>
      </c>
      <c r="F189" s="39"/>
      <c r="G189" s="156"/>
      <c r="H189" s="168" t="s">
        <v>12</v>
      </c>
      <c r="I189" s="165"/>
      <c r="J189" s="165"/>
      <c r="K189" s="166"/>
      <c r="L189" s="44">
        <f ca="1">IFERROR(__xludf.DUMMYFUNCTION("IMPORTRANGE(""https://docs.google.com/spreadsheets/d/1kC41EOXpGBFOW658Fs3oD8beYlym0-zO54WY-2Qnp9I/edit?usp=share_link"",""กระบี่!L189"")
+IMPORTRANGE(""https://docs.google.com/spreadsheets/d/1FbzMZY_f3MDiEuK7RpCQKrilJ_kpX0Wm7QBZ1L7EjIU/edit?usp=share_link"&amp;""",""ชุมพร!L189"")+IMPORTRANGE(""https://docs.google.com/spreadsheets/d/1v5sN-00LrXuhBxw4dkh2GrG_z4l5oAqOdJRBCsUyMaM/edit?usp=share_link"",""ตรัง!L189"")+IMPORTRANGE(""https://docs.google.com/spreadsheets/d/1T5rRTzFc79aSIvqnzkZNvwPstq829QYz_xALlO1Z0s8/edi"&amp;"t?usp=share_link"",""นครศรีธรรมราช!L189"")+IMPORTRANGE(""https://docs.google.com/spreadsheets/d/1BeghqumK0IvCmRd2QOy6_afsZq7ZtAGrSnVJy2u7WmY/edit?usp=share_link"",""นราธิวาส!L189"")+IMPORTRANGE(""https://docs.google.com/spreadsheets/d/1IwnW3-jjRf74MCLW-6P"&amp;"iFwMUffRQXZwZA7YM609NmRc/edit?usp=share_link"",""ปัตตานี!L189"")+IMPORTRANGE(""https://docs.google.com/spreadsheets/d/1vl4QWbWdFruual5o_wdo6ZSqXZ_it806oja4CctTLKs/edit?usp=share_link"",""พังงา!L189"")+IMPORTRANGE(""https://docs.google.com/spreadsheets/d/1"&amp;"b6QssHQp2FoAPSMKHOy273KNzAomaIKhtdlvuZ_zDNE/edit?usp=share_link"",""พัทลุง!L189"")+IMPORTRANGE(""https://docs.google.com/spreadsheets/d/1o7UZe4_OqlqtLDHrj01Z2YFRSZDf1DMy1n3XViHaxRc/edit?usp=share_link"",""ภูเก็ต!L189"")+IMPORTRANGE(""https://docs.google.c"&amp;"om/spreadsheets/d/1ctPm1vUzcUCPuOj9-eoHUD85PqINFqUB0TjdSWmR5-c/edit?usp=share_link"",""ยะลา!L189"")+IMPORTRANGE(""https://docs.google.com/spreadsheets/d/1YiDIE7Klmt8osgdapRqYWNr7iPGFSsiJqq46S7PYRE0/edit?usp=share_link"",""ระนอง!L189"")+IMPORTRANGE(""https"&amp;"://docs.google.com/spreadsheets/d/16o_4B-V7AWw_6E93bSpXj_XxVv1oVQctk-B6z1dNEWU/edit?usp=share_link"",""สงขลา!L189"")+IMPORTRANGE(""https://docs.google.com/spreadsheets/d/16cywr71Fj4fA5OGRHsZh30ZG2gwJhMAQv69oVBzYHv0/edit?usp=share_link"",""สตูล!L189"")+IMP"&amp;"ORTRANGE(""https://docs.google.com/spreadsheets/d/1vO9Sws6kMtrVtyvrAJptINXjK8TFBoX9xLYOVK_C8bQ/edit?usp=share_link"",""สุราษฎร์ธานี!L189"")"),0)</f>
        <v>0</v>
      </c>
      <c r="M189" s="44">
        <f ca="1">IFERROR(__xludf.DUMMYFUNCTION("IMPORTRANGE(""https://docs.google.com/spreadsheets/d/1kC41EOXpGBFOW658Fs3oD8beYlym0-zO54WY-2Qnp9I/edit?usp=share_link"",""กระบี่!M189"")
+IMPORTRANGE(""https://docs.google.com/spreadsheets/d/1FbzMZY_f3MDiEuK7RpCQKrilJ_kpX0Wm7QBZ1L7EjIU/edit?usp=share_link"&amp;""",""ชุมพร!M189"")+IMPORTRANGE(""https://docs.google.com/spreadsheets/d/1v5sN-00LrXuhBxw4dkh2GrG_z4l5oAqOdJRBCsUyMaM/edit?usp=share_link"",""ตรัง!M189"")+IMPORTRANGE(""https://docs.google.com/spreadsheets/d/1T5rRTzFc79aSIvqnzkZNvwPstq829QYz_xALlO1Z0s8/edi"&amp;"t?usp=share_link"",""นครศรีธรรมราช!M189"")+IMPORTRANGE(""https://docs.google.com/spreadsheets/d/1BeghqumK0IvCmRd2QOy6_afsZq7ZtAGrSnVJy2u7WmY/edit?usp=share_link"",""นราธิวาส!M189"")+IMPORTRANGE(""https://docs.google.com/spreadsheets/d/1IwnW3-jjRf74MCLW-6P"&amp;"iFwMUffRQXZwZA7YM609NmRc/edit?usp=share_link"",""ปัตตานี!M189"")+IMPORTRANGE(""https://docs.google.com/spreadsheets/d/1vl4QWbWdFruual5o_wdo6ZSqXZ_it806oja4CctTLKs/edit?usp=share_link"",""พังงา!M189"")+IMPORTRANGE(""https://docs.google.com/spreadsheets/d/1"&amp;"b6QssHQp2FoAPSMKHOy273KNzAomaIKhtdlvuZ_zDNE/edit?usp=share_link"",""พัทลุง!M189"")+IMPORTRANGE(""https://docs.google.com/spreadsheets/d/1o7UZe4_OqlqtLDHrj01Z2YFRSZDf1DMy1n3XViHaxRc/edit?usp=share_link"",""ภูเก็ต!M189"")+IMPORTRANGE(""https://docs.google.c"&amp;"om/spreadsheets/d/1ctPm1vUzcUCPuOj9-eoHUD85PqINFqUB0TjdSWmR5-c/edit?usp=share_link"",""ยะลา!M189"")+IMPORTRANGE(""https://docs.google.com/spreadsheets/d/1YiDIE7Klmt8osgdapRqYWNr7iPGFSsiJqq46S7PYRE0/edit?usp=share_link"",""ระนอง!M189"")+IMPORTRANGE(""https"&amp;"://docs.google.com/spreadsheets/d/16o_4B-V7AWw_6E93bSpXj_XxVv1oVQctk-B6z1dNEWU/edit?usp=share_link"",""สงขลา!M189"")+IMPORTRANGE(""https://docs.google.com/spreadsheets/d/16cywr71Fj4fA5OGRHsZh30ZG2gwJhMAQv69oVBzYHv0/edit?usp=share_link"",""สตูล!M189"")+IMP"&amp;"ORTRANGE(""https://docs.google.com/spreadsheets/d/1vO9Sws6kMtrVtyvrAJptINXjK8TFBoX9xLYOVK_C8bQ/edit?usp=share_link"",""สุราษฎร์ธานี!M189"")"),0)</f>
        <v>0</v>
      </c>
      <c r="N189" s="44">
        <f ca="1">IFERROR(__xludf.DUMMYFUNCTION("IMPORTRANGE(""https://docs.google.com/spreadsheets/d/1kC41EOXpGBFOW658Fs3oD8beYlym0-zO54WY-2Qnp9I/edit?usp=share_link"",""กระบี่!N189"")
+IMPORTRANGE(""https://docs.google.com/spreadsheets/d/1FbzMZY_f3MDiEuK7RpCQKrilJ_kpX0Wm7QBZ1L7EjIU/edit?usp=share_link"&amp;""",""ชุมพร!N189"")+IMPORTRANGE(""https://docs.google.com/spreadsheets/d/1v5sN-00LrXuhBxw4dkh2GrG_z4l5oAqOdJRBCsUyMaM/edit?usp=share_link"",""ตรัง!N189"")+IMPORTRANGE(""https://docs.google.com/spreadsheets/d/1T5rRTzFc79aSIvqnzkZNvwPstq829QYz_xALlO1Z0s8/edi"&amp;"t?usp=share_link"",""นครศรีธรรมราช!N189"")+IMPORTRANGE(""https://docs.google.com/spreadsheets/d/1BeghqumK0IvCmRd2QOy6_afsZq7ZtAGrSnVJy2u7WmY/edit?usp=share_link"",""นราธิวาส!N189"")+IMPORTRANGE(""https://docs.google.com/spreadsheets/d/1IwnW3-jjRf74MCLW-6P"&amp;"iFwMUffRQXZwZA7YM609NmRc/edit?usp=share_link"",""ปัตตานี!N189"")+IMPORTRANGE(""https://docs.google.com/spreadsheets/d/1vl4QWbWdFruual5o_wdo6ZSqXZ_it806oja4CctTLKs/edit?usp=share_link"",""พังงา!N189"")+IMPORTRANGE(""https://docs.google.com/spreadsheets/d/1"&amp;"b6QssHQp2FoAPSMKHOy273KNzAomaIKhtdlvuZ_zDNE/edit?usp=share_link"",""พัทลุง!N189"")+IMPORTRANGE(""https://docs.google.com/spreadsheets/d/1o7UZe4_OqlqtLDHrj01Z2YFRSZDf1DMy1n3XViHaxRc/edit?usp=share_link"",""ภูเก็ต!N189"")+IMPORTRANGE(""https://docs.google.c"&amp;"om/spreadsheets/d/1ctPm1vUzcUCPuOj9-eoHUD85PqINFqUB0TjdSWmR5-c/edit?usp=share_link"",""ยะลา!N189"")+IMPORTRANGE(""https://docs.google.com/spreadsheets/d/1YiDIE7Klmt8osgdapRqYWNr7iPGFSsiJqq46S7PYRE0/edit?usp=share_link"",""ระนอง!N189"")+IMPORTRANGE(""https"&amp;"://docs.google.com/spreadsheets/d/16o_4B-V7AWw_6E93bSpXj_XxVv1oVQctk-B6z1dNEWU/edit?usp=share_link"",""สงขลา!N189"")+IMPORTRANGE(""https://docs.google.com/spreadsheets/d/16cywr71Fj4fA5OGRHsZh30ZG2gwJhMAQv69oVBzYHv0/edit?usp=share_link"",""สตูล!N189"")+IMP"&amp;"ORTRANGE(""https://docs.google.com/spreadsheets/d/1vO9Sws6kMtrVtyvrAJptINXjK8TFBoX9xLYOVK_C8bQ/edit?usp=share_link"",""สุราษฎร์ธานี!N189"")"),0)</f>
        <v>0</v>
      </c>
      <c r="O189" s="44">
        <f t="shared" ca="1" si="113"/>
        <v>0</v>
      </c>
      <c r="P189" s="44">
        <f t="shared" ca="1" si="114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20.25" customHeight="1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119">I193</f>
        <v>56</v>
      </c>
      <c r="J190" s="271">
        <f t="shared" ca="1" si="119"/>
        <v>56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20.25" customHeight="1">
      <c r="A191" s="146"/>
      <c r="B191" s="147"/>
      <c r="C191" s="148" t="s">
        <v>16</v>
      </c>
      <c r="D191" s="273" t="s">
        <v>17</v>
      </c>
      <c r="E191" s="147"/>
      <c r="F191" s="147"/>
      <c r="G191" s="150"/>
      <c r="H191" s="274" t="s">
        <v>12</v>
      </c>
      <c r="I191" s="152"/>
      <c r="J191" s="152"/>
      <c r="K191" s="153"/>
      <c r="L191" s="154">
        <f ca="1">IFERROR(__xludf.DUMMYFUNCTION("IMPORTRANGE(""https://docs.google.com/spreadsheets/d/1kC41EOXpGBFOW658Fs3oD8beYlym0-zO54WY-2Qnp9I/edit?usp=share_link"",""กระบี่!L191"")
+IMPORTRANGE(""https://docs.google.com/spreadsheets/d/1FbzMZY_f3MDiEuK7RpCQKrilJ_kpX0Wm7QBZ1L7EjIU/edit?usp=share_link"&amp;""",""ชุมพร!L191"")+IMPORTRANGE(""https://docs.google.com/spreadsheets/d/1v5sN-00LrXuhBxw4dkh2GrG_z4l5oAqOdJRBCsUyMaM/edit?usp=share_link"",""ตรัง!L191"")+IMPORTRANGE(""https://docs.google.com/spreadsheets/d/1T5rRTzFc79aSIvqnzkZNvwPstq829QYz_xALlO1Z0s8/edi"&amp;"t?usp=share_link"",""นครศรีธรรมราช!L191"")+IMPORTRANGE(""https://docs.google.com/spreadsheets/d/1BeghqumK0IvCmRd2QOy6_afsZq7ZtAGrSnVJy2u7WmY/edit?usp=share_link"",""นราธิวาส!L191"")+IMPORTRANGE(""https://docs.google.com/spreadsheets/d/1IwnW3-jjRf74MCLW-6P"&amp;"iFwMUffRQXZwZA7YM609NmRc/edit?usp=share_link"",""ปัตตานี!L191"")+IMPORTRANGE(""https://docs.google.com/spreadsheets/d/1vl4QWbWdFruual5o_wdo6ZSqXZ_it806oja4CctTLKs/edit?usp=share_link"",""พังงา!L191"")+IMPORTRANGE(""https://docs.google.com/spreadsheets/d/1"&amp;"b6QssHQp2FoAPSMKHOy273KNzAomaIKhtdlvuZ_zDNE/edit?usp=share_link"",""พัทลุง!L191"")+IMPORTRANGE(""https://docs.google.com/spreadsheets/d/1o7UZe4_OqlqtLDHrj01Z2YFRSZDf1DMy1n3XViHaxRc/edit?usp=share_link"",""ภูเก็ต!L191"")+IMPORTRANGE(""https://docs.google.c"&amp;"om/spreadsheets/d/1ctPm1vUzcUCPuOj9-eoHUD85PqINFqUB0TjdSWmR5-c/edit?usp=share_link"",""ยะลา!L191"")+IMPORTRANGE(""https://docs.google.com/spreadsheets/d/1YiDIE7Klmt8osgdapRqYWNr7iPGFSsiJqq46S7PYRE0/edit?usp=share_link"",""ระนอง!L191"")+IMPORTRANGE(""https"&amp;"://docs.google.com/spreadsheets/d/16o_4B-V7AWw_6E93bSpXj_XxVv1oVQctk-B6z1dNEWU/edit?usp=share_link"",""สงขลา!L191"")+IMPORTRANGE(""https://docs.google.com/spreadsheets/d/16cywr71Fj4fA5OGRHsZh30ZG2gwJhMAQv69oVBzYHv0/edit?usp=share_link"",""สตูล!L191"")+IMP"&amp;"ORTRANGE(""https://docs.google.com/spreadsheets/d/1vO9Sws6kMtrVtyvrAJptINXjK8TFBoX9xLYOVK_C8bQ/edit?usp=share_link"",""สุราษฎร์ธานี!L191"")"),84000)</f>
        <v>84000</v>
      </c>
      <c r="M191" s="154"/>
      <c r="N191" s="275">
        <f ca="1">IFERROR(__xludf.DUMMYFUNCTION("IMPORTRANGE(""https://docs.google.com/spreadsheets/d/1kC41EOXpGBFOW658Fs3oD8beYlym0-zO54WY-2Qnp9I/edit?usp=share_link"",""กระบี่!N191"")
+IMPORTRANGE(""https://docs.google.com/spreadsheets/d/1FbzMZY_f3MDiEuK7RpCQKrilJ_kpX0Wm7QBZ1L7EjIU/edit?usp=share_link"&amp;""",""ชุมพร!N191"")+IMPORTRANGE(""https://docs.google.com/spreadsheets/d/1v5sN-00LrXuhBxw4dkh2GrG_z4l5oAqOdJRBCsUyMaM/edit?usp=share_link"",""ตรัง!N191"")+IMPORTRANGE(""https://docs.google.com/spreadsheets/d/1T5rRTzFc79aSIvqnzkZNvwPstq829QYz_xALlO1Z0s8/edi"&amp;"t?usp=share_link"",""นครศรีธรรมราช!N191"")+IMPORTRANGE(""https://docs.google.com/spreadsheets/d/1BeghqumK0IvCmRd2QOy6_afsZq7ZtAGrSnVJy2u7WmY/edit?usp=share_link"",""นราธิวาส!N191"")+IMPORTRANGE(""https://docs.google.com/spreadsheets/d/1IwnW3-jjRf74MCLW-6P"&amp;"iFwMUffRQXZwZA7YM609NmRc/edit?usp=share_link"",""ปัตตานี!N191"")+IMPORTRANGE(""https://docs.google.com/spreadsheets/d/1vl4QWbWdFruual5o_wdo6ZSqXZ_it806oja4CctTLKs/edit?usp=share_link"",""พังงา!N191"")+IMPORTRANGE(""https://docs.google.com/spreadsheets/d/1"&amp;"b6QssHQp2FoAPSMKHOy273KNzAomaIKhtdlvuZ_zDNE/edit?usp=share_link"",""พัทลุง!N191"")+IMPORTRANGE(""https://docs.google.com/spreadsheets/d/1o7UZe4_OqlqtLDHrj01Z2YFRSZDf1DMy1n3XViHaxRc/edit?usp=share_link"",""ภูเก็ต!N191"")+IMPORTRANGE(""https://docs.google.c"&amp;"om/spreadsheets/d/1ctPm1vUzcUCPuOj9-eoHUD85PqINFqUB0TjdSWmR5-c/edit?usp=share_link"",""ยะลา!N191"")+IMPORTRANGE(""https://docs.google.com/spreadsheets/d/1YiDIE7Klmt8osgdapRqYWNr7iPGFSsiJqq46S7PYRE0/edit?usp=share_link"",""ระนอง!N191"")+IMPORTRANGE(""https"&amp;"://docs.google.com/spreadsheets/d/16o_4B-V7AWw_6E93bSpXj_XxVv1oVQctk-B6z1dNEWU/edit?usp=share_link"",""สงขลา!N191"")+IMPORTRANGE(""https://docs.google.com/spreadsheets/d/16cywr71Fj4fA5OGRHsZh30ZG2gwJhMAQv69oVBzYHv0/edit?usp=share_link"",""สตูล!N191"")+IMP"&amp;"ORTRANGE(""https://docs.google.com/spreadsheets/d/1vO9Sws6kMtrVtyvrAJptINXjK8TFBoX9xLYOVK_C8bQ/edit?usp=share_link"",""สุราษฎร์ธานี!N191"")"),84000)</f>
        <v>84000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20.25" customHeight="1">
      <c r="A192" s="169"/>
      <c r="B192" s="170"/>
      <c r="C192" s="210" t="s">
        <v>16</v>
      </c>
      <c r="D192" s="171" t="s">
        <v>38</v>
      </c>
      <c r="E192" s="172"/>
      <c r="F192" s="172"/>
      <c r="G192" s="173"/>
      <c r="H192" s="174"/>
      <c r="I192" s="36"/>
      <c r="J192" s="36"/>
      <c r="K192" s="37"/>
      <c r="L192" s="37"/>
      <c r="M192" s="37"/>
      <c r="N192" s="37"/>
      <c r="O192" s="37"/>
      <c r="P192" s="3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20.25" customHeight="1">
      <c r="A193" s="169"/>
      <c r="B193" s="170"/>
      <c r="C193" s="170"/>
      <c r="D193" s="180" t="s">
        <v>91</v>
      </c>
      <c r="E193" s="177"/>
      <c r="F193" s="177"/>
      <c r="G193" s="178"/>
      <c r="H193" s="181" t="s">
        <v>90</v>
      </c>
      <c r="I193" s="36">
        <f ca="1">IFERROR(__xludf.DUMMYFUNCTION("IMPORTRANGE(""https://docs.google.com/spreadsheets/d/1kC41EOXpGBFOW658Fs3oD8beYlym0-zO54WY-2Qnp9I/edit?usp=share_link"",""กระบี่!I193"")
+IMPORTRANGE(""https://docs.google.com/spreadsheets/d/1FbzMZY_f3MDiEuK7RpCQKrilJ_kpX0Wm7QBZ1L7EjIU/edit?usp=share_link"&amp;""",""ชุมพร!I193"")+IMPORTRANGE(""https://docs.google.com/spreadsheets/d/1v5sN-00LrXuhBxw4dkh2GrG_z4l5oAqOdJRBCsUyMaM/edit?usp=share_link"",""ตรัง!I193"")+IMPORTRANGE(""https://docs.google.com/spreadsheets/d/1T5rRTzFc79aSIvqnzkZNvwPstq829QYz_xALlO1Z0s8/edi"&amp;"t?usp=share_link"",""นครศรีธรรมราช!I193"")+IMPORTRANGE(""https://docs.google.com/spreadsheets/d/1BeghqumK0IvCmRd2QOy6_afsZq7ZtAGrSnVJy2u7WmY/edit?usp=share_link"",""นราธิวาส!I193"")+IMPORTRANGE(""https://docs.google.com/spreadsheets/d/1IwnW3-jjRf74MCLW-6P"&amp;"iFwMUffRQXZwZA7YM609NmRc/edit?usp=share_link"",""ปัตตานี!I193"")+IMPORTRANGE(""https://docs.google.com/spreadsheets/d/1vl4QWbWdFruual5o_wdo6ZSqXZ_it806oja4CctTLKs/edit?usp=share_link"",""พังงา!I193"")+IMPORTRANGE(""https://docs.google.com/spreadsheets/d/1"&amp;"b6QssHQp2FoAPSMKHOy273KNzAomaIKhtdlvuZ_zDNE/edit?usp=share_link"",""พัทลุง!I193"")+IMPORTRANGE(""https://docs.google.com/spreadsheets/d/1o7UZe4_OqlqtLDHrj01Z2YFRSZDf1DMy1n3XViHaxRc/edit?usp=share_link"",""ภูเก็ต!I193"")+IMPORTRANGE(""https://docs.google.c"&amp;"om/spreadsheets/d/1ctPm1vUzcUCPuOj9-eoHUD85PqINFqUB0TjdSWmR5-c/edit?usp=share_link"",""ยะลา!I193"")+IMPORTRANGE(""https://docs.google.com/spreadsheets/d/1YiDIE7Klmt8osgdapRqYWNr7iPGFSsiJqq46S7PYRE0/edit?usp=share_link"",""ระนอง!I193"")+IMPORTRANGE(""https"&amp;"://docs.google.com/spreadsheets/d/16o_4B-V7AWw_6E93bSpXj_XxVv1oVQctk-B6z1dNEWU/edit?usp=share_link"",""สงขลา!I193"")+IMPORTRANGE(""https://docs.google.com/spreadsheets/d/16cywr71Fj4fA5OGRHsZh30ZG2gwJhMAQv69oVBzYHv0/edit?usp=share_link"",""สตูล!I193"")+IMP"&amp;"ORTRANGE(""https://docs.google.com/spreadsheets/d/1vO9Sws6kMtrVtyvrAJptINXjK8TFBoX9xLYOVK_C8bQ/edit?usp=share_link"",""สุราษฎร์ธานี!I193"")"),56)</f>
        <v>56</v>
      </c>
      <c r="J193" s="182">
        <f ca="1">IFERROR(__xludf.DUMMYFUNCTION("IMPORTRANGE(""https://docs.google.com/spreadsheets/d/1kC41EOXpGBFOW658Fs3oD8beYlym0-zO54WY-2Qnp9I/edit?usp=share_link"",""กระบี่!J193"")
+IMPORTRANGE(""https://docs.google.com/spreadsheets/d/1FbzMZY_f3MDiEuK7RpCQKrilJ_kpX0Wm7QBZ1L7EjIU/edit?usp=share_link"&amp;""",""ชุมพร!J193"")+IMPORTRANGE(""https://docs.google.com/spreadsheets/d/1v5sN-00LrXuhBxw4dkh2GrG_z4l5oAqOdJRBCsUyMaM/edit?usp=share_link"",""ตรัง!J193"")+IMPORTRANGE(""https://docs.google.com/spreadsheets/d/1T5rRTzFc79aSIvqnzkZNvwPstq829QYz_xALlO1Z0s8/edi"&amp;"t?usp=share_link"",""นครศรีธรรมราช!J193"")+IMPORTRANGE(""https://docs.google.com/spreadsheets/d/1BeghqumK0IvCmRd2QOy6_afsZq7ZtAGrSnVJy2u7WmY/edit?usp=share_link"",""นราธิวาส!J193"")+IMPORTRANGE(""https://docs.google.com/spreadsheets/d/1IwnW3-jjRf74MCLW-6P"&amp;"iFwMUffRQXZwZA7YM609NmRc/edit?usp=share_link"",""ปัตตานี!J193"")+IMPORTRANGE(""https://docs.google.com/spreadsheets/d/1vl4QWbWdFruual5o_wdo6ZSqXZ_it806oja4CctTLKs/edit?usp=share_link"",""พังงา!J193"")+IMPORTRANGE(""https://docs.google.com/spreadsheets/d/1"&amp;"b6QssHQp2FoAPSMKHOy273KNzAomaIKhtdlvuZ_zDNE/edit?usp=share_link"",""พัทลุง!J193"")+IMPORTRANGE(""https://docs.google.com/spreadsheets/d/1o7UZe4_OqlqtLDHrj01Z2YFRSZDf1DMy1n3XViHaxRc/edit?usp=share_link"",""ภูเก็ต!J193"")+IMPORTRANGE(""https://docs.google.c"&amp;"om/spreadsheets/d/1ctPm1vUzcUCPuOj9-eoHUD85PqINFqUB0TjdSWmR5-c/edit?usp=share_link"",""ยะลา!J193"")+IMPORTRANGE(""https://docs.google.com/spreadsheets/d/1YiDIE7Klmt8osgdapRqYWNr7iPGFSsiJqq46S7PYRE0/edit?usp=share_link"",""ระนอง!J193"")+IMPORTRANGE(""https"&amp;"://docs.google.com/spreadsheets/d/16o_4B-V7AWw_6E93bSpXj_XxVv1oVQctk-B6z1dNEWU/edit?usp=share_link"",""สงขลา!J193"")+IMPORTRANGE(""https://docs.google.com/spreadsheets/d/16cywr71Fj4fA5OGRHsZh30ZG2gwJhMAQv69oVBzYHv0/edit?usp=share_link"",""สตูล!J193"")+IMP"&amp;"ORTRANGE(""https://docs.google.com/spreadsheets/d/1vO9Sws6kMtrVtyvrAJptINXjK8TFBoX9xLYOVK_C8bQ/edit?usp=share_link"",""สุราษฎร์ธานี!J193"")"),56)</f>
        <v>56</v>
      </c>
      <c r="K193" s="37">
        <f ca="1">IF(I193&gt;0,J193*100/I193,0)</f>
        <v>100</v>
      </c>
      <c r="L193" s="37"/>
      <c r="M193" s="37"/>
      <c r="N193" s="37"/>
      <c r="O193" s="37"/>
      <c r="P193" s="3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20.25" customHeight="1">
      <c r="A194" s="169"/>
      <c r="B194" s="170"/>
      <c r="C194" s="170"/>
      <c r="D194" s="180" t="s">
        <v>92</v>
      </c>
      <c r="E194" s="177"/>
      <c r="F194" s="177"/>
      <c r="G194" s="178"/>
      <c r="H194" s="276" t="s">
        <v>35</v>
      </c>
      <c r="I194" s="36"/>
      <c r="J194" s="36">
        <f ca="1">J195+J196</f>
        <v>2225</v>
      </c>
      <c r="K194" s="37"/>
      <c r="L194" s="37"/>
      <c r="M194" s="37"/>
      <c r="N194" s="37"/>
      <c r="O194" s="37"/>
      <c r="P194" s="3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20.25" customHeight="1">
      <c r="A195" s="169"/>
      <c r="B195" s="170"/>
      <c r="C195" s="170"/>
      <c r="D195" s="170"/>
      <c r="E195" s="180" t="s">
        <v>93</v>
      </c>
      <c r="F195" s="177"/>
      <c r="G195" s="178"/>
      <c r="H195" s="276" t="s">
        <v>35</v>
      </c>
      <c r="I195" s="36"/>
      <c r="J195" s="182">
        <f ca="1">IFERROR(__xludf.DUMMYFUNCTION("IMPORTRANGE(""https://docs.google.com/spreadsheets/d/1kC41EOXpGBFOW658Fs3oD8beYlym0-zO54WY-2Qnp9I/edit?usp=share_link"",""กระบี่!J195"")
+IMPORTRANGE(""https://docs.google.com/spreadsheets/d/1FbzMZY_f3MDiEuK7RpCQKrilJ_kpX0Wm7QBZ1L7EjIU/edit?usp=share_link"&amp;""",""ชุมพร!J195"")+IMPORTRANGE(""https://docs.google.com/spreadsheets/d/1v5sN-00LrXuhBxw4dkh2GrG_z4l5oAqOdJRBCsUyMaM/edit?usp=share_link"",""ตรัง!J195"")+IMPORTRANGE(""https://docs.google.com/spreadsheets/d/1T5rRTzFc79aSIvqnzkZNvwPstq829QYz_xALlO1Z0s8/edi"&amp;"t?usp=share_link"",""นครศรีธรรมราช!J195"")+IMPORTRANGE(""https://docs.google.com/spreadsheets/d/1BeghqumK0IvCmRd2QOy6_afsZq7ZtAGrSnVJy2u7WmY/edit?usp=share_link"",""นราธิวาส!J195"")+IMPORTRANGE(""https://docs.google.com/spreadsheets/d/1IwnW3-jjRf74MCLW-6P"&amp;"iFwMUffRQXZwZA7YM609NmRc/edit?usp=share_link"",""ปัตตานี!J195"")+IMPORTRANGE(""https://docs.google.com/spreadsheets/d/1vl4QWbWdFruual5o_wdo6ZSqXZ_it806oja4CctTLKs/edit?usp=share_link"",""พังงา!J195"")+IMPORTRANGE(""https://docs.google.com/spreadsheets/d/1"&amp;"b6QssHQp2FoAPSMKHOy273KNzAomaIKhtdlvuZ_zDNE/edit?usp=share_link"",""พัทลุง!J195"")+IMPORTRANGE(""https://docs.google.com/spreadsheets/d/1o7UZe4_OqlqtLDHrj01Z2YFRSZDf1DMy1n3XViHaxRc/edit?usp=share_link"",""ภูเก็ต!J195"")+IMPORTRANGE(""https://docs.google.c"&amp;"om/spreadsheets/d/1ctPm1vUzcUCPuOj9-eoHUD85PqINFqUB0TjdSWmR5-c/edit?usp=share_link"",""ยะลา!J195"")+IMPORTRANGE(""https://docs.google.com/spreadsheets/d/1YiDIE7Klmt8osgdapRqYWNr7iPGFSsiJqq46S7PYRE0/edit?usp=share_link"",""ระนอง!J195"")+IMPORTRANGE(""https"&amp;"://docs.google.com/spreadsheets/d/16o_4B-V7AWw_6E93bSpXj_XxVv1oVQctk-B6z1dNEWU/edit?usp=share_link"",""สงขลา!J195"")+IMPORTRANGE(""https://docs.google.com/spreadsheets/d/16cywr71Fj4fA5OGRHsZh30ZG2gwJhMAQv69oVBzYHv0/edit?usp=share_link"",""สตูล!J195"")+IMP"&amp;"ORTRANGE(""https://docs.google.com/spreadsheets/d/1vO9Sws6kMtrVtyvrAJptINXjK8TFBoX9xLYOVK_C8bQ/edit?usp=share_link"",""สุราษฎร์ธานี!J195"")"),2225)</f>
        <v>2225</v>
      </c>
      <c r="K195" s="37"/>
      <c r="L195" s="37"/>
      <c r="M195" s="37"/>
      <c r="N195" s="37"/>
      <c r="O195" s="37"/>
      <c r="P195" s="3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20.25" customHeight="1">
      <c r="A196" s="169"/>
      <c r="B196" s="170"/>
      <c r="C196" s="170"/>
      <c r="D196" s="170"/>
      <c r="E196" s="180" t="s">
        <v>94</v>
      </c>
      <c r="F196" s="177"/>
      <c r="G196" s="178"/>
      <c r="H196" s="276" t="s">
        <v>35</v>
      </c>
      <c r="I196" s="36"/>
      <c r="J196" s="182">
        <f ca="1">IFERROR(__xludf.DUMMYFUNCTION("IMPORTRANGE(""https://docs.google.com/spreadsheets/d/1kC41EOXpGBFOW658Fs3oD8beYlym0-zO54WY-2Qnp9I/edit?usp=share_link"",""กระบี่!J196"")
+IMPORTRANGE(""https://docs.google.com/spreadsheets/d/1FbzMZY_f3MDiEuK7RpCQKrilJ_kpX0Wm7QBZ1L7EjIU/edit?usp=share_link"&amp;""",""ชุมพร!J196"")+IMPORTRANGE(""https://docs.google.com/spreadsheets/d/1v5sN-00LrXuhBxw4dkh2GrG_z4l5oAqOdJRBCsUyMaM/edit?usp=share_link"",""ตรัง!J196"")+IMPORTRANGE(""https://docs.google.com/spreadsheets/d/1T5rRTzFc79aSIvqnzkZNvwPstq829QYz_xALlO1Z0s8/edi"&amp;"t?usp=share_link"",""นครศรีธรรมราช!J196"")+IMPORTRANGE(""https://docs.google.com/spreadsheets/d/1BeghqumK0IvCmRd2QOy6_afsZq7ZtAGrSnVJy2u7WmY/edit?usp=share_link"",""นราธิวาส!J196"")+IMPORTRANGE(""https://docs.google.com/spreadsheets/d/1IwnW3-jjRf74MCLW-6P"&amp;"iFwMUffRQXZwZA7YM609NmRc/edit?usp=share_link"",""ปัตตานี!J196"")+IMPORTRANGE(""https://docs.google.com/spreadsheets/d/1vl4QWbWdFruual5o_wdo6ZSqXZ_it806oja4CctTLKs/edit?usp=share_link"",""พังงา!J196"")+IMPORTRANGE(""https://docs.google.com/spreadsheets/d/1"&amp;"b6QssHQp2FoAPSMKHOy273KNzAomaIKhtdlvuZ_zDNE/edit?usp=share_link"",""พัทลุง!J196"")+IMPORTRANGE(""https://docs.google.com/spreadsheets/d/1o7UZe4_OqlqtLDHrj01Z2YFRSZDf1DMy1n3XViHaxRc/edit?usp=share_link"",""ภูเก็ต!J196"")+IMPORTRANGE(""https://docs.google.c"&amp;"om/spreadsheets/d/1ctPm1vUzcUCPuOj9-eoHUD85PqINFqUB0TjdSWmR5-c/edit?usp=share_link"",""ยะลา!J196"")+IMPORTRANGE(""https://docs.google.com/spreadsheets/d/1YiDIE7Klmt8osgdapRqYWNr7iPGFSsiJqq46S7PYRE0/edit?usp=share_link"",""ระนอง!J196"")+IMPORTRANGE(""https"&amp;"://docs.google.com/spreadsheets/d/16o_4B-V7AWw_6E93bSpXj_XxVv1oVQctk-B6z1dNEWU/edit?usp=share_link"",""สงขลา!J196"")+IMPORTRANGE(""https://docs.google.com/spreadsheets/d/16cywr71Fj4fA5OGRHsZh30ZG2gwJhMAQv69oVBzYHv0/edit?usp=share_link"",""สตูล!J196"")+IMP"&amp;"ORTRANGE(""https://docs.google.com/spreadsheets/d/1vO9Sws6kMtrVtyvrAJptINXjK8TFBoX9xLYOVK_C8bQ/edit?usp=share_link"",""สุราษฎร์ธานี!J196"")"),0)</f>
        <v>0</v>
      </c>
      <c r="K196" s="37"/>
      <c r="L196" s="37"/>
      <c r="M196" s="37"/>
      <c r="N196" s="37"/>
      <c r="O196" s="37"/>
      <c r="P196" s="3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20.25" customHeight="1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120">I204</f>
        <v>28</v>
      </c>
      <c r="J197" s="271">
        <f t="shared" ca="1" si="120"/>
        <v>28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20.25" customHeight="1">
      <c r="A198" s="146"/>
      <c r="B198" s="147"/>
      <c r="C198" s="148" t="s">
        <v>16</v>
      </c>
      <c r="D198" s="273" t="s">
        <v>17</v>
      </c>
      <c r="E198" s="147"/>
      <c r="F198" s="147"/>
      <c r="G198" s="150"/>
      <c r="H198" s="274" t="s">
        <v>12</v>
      </c>
      <c r="I198" s="278"/>
      <c r="J198" s="278"/>
      <c r="K198" s="279"/>
      <c r="L198" s="154">
        <f ca="1">L199+L200+L201+L202</f>
        <v>374000</v>
      </c>
      <c r="M198" s="154"/>
      <c r="N198" s="154">
        <f ca="1">N199+N200+N201+N202</f>
        <v>374000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20.25" customHeight="1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61"/>
      <c r="J199" s="161"/>
      <c r="K199" s="162"/>
      <c r="L199" s="37">
        <f ca="1">IFERROR(__xludf.DUMMYFUNCTION("IMPORTRANGE(""https://docs.google.com/spreadsheets/d/1kC41EOXpGBFOW658Fs3oD8beYlym0-zO54WY-2Qnp9I/edit?usp=share_link"",""กระบี่!L199"")
+IMPORTRANGE(""https://docs.google.com/spreadsheets/d/1FbzMZY_f3MDiEuK7RpCQKrilJ_kpX0Wm7QBZ1L7EjIU/edit?usp=share_link"&amp;""",""ชุมพร!L199"")+IMPORTRANGE(""https://docs.google.com/spreadsheets/d/1v5sN-00LrXuhBxw4dkh2GrG_z4l5oAqOdJRBCsUyMaM/edit?usp=share_link"",""ตรัง!L199"")+IMPORTRANGE(""https://docs.google.com/spreadsheets/d/1T5rRTzFc79aSIvqnzkZNvwPstq829QYz_xALlO1Z0s8/edi"&amp;"t?usp=share_link"",""นครศรีธรรมราช!L199"")+IMPORTRANGE(""https://docs.google.com/spreadsheets/d/1BeghqumK0IvCmRd2QOy6_afsZq7ZtAGrSnVJy2u7WmY/edit?usp=share_link"",""นราธิวาส!L199"")+IMPORTRANGE(""https://docs.google.com/spreadsheets/d/1IwnW3-jjRf74MCLW-6P"&amp;"iFwMUffRQXZwZA7YM609NmRc/edit?usp=share_link"",""ปัตตานี!L199"")+IMPORTRANGE(""https://docs.google.com/spreadsheets/d/1vl4QWbWdFruual5o_wdo6ZSqXZ_it806oja4CctTLKs/edit?usp=share_link"",""พังงา!L199"")+IMPORTRANGE(""https://docs.google.com/spreadsheets/d/1"&amp;"b6QssHQp2FoAPSMKHOy273KNzAomaIKhtdlvuZ_zDNE/edit?usp=share_link"",""พัทลุง!L199"")+IMPORTRANGE(""https://docs.google.com/spreadsheets/d/1o7UZe4_OqlqtLDHrj01Z2YFRSZDf1DMy1n3XViHaxRc/edit?usp=share_link"",""ภูเก็ต!L199"")+IMPORTRANGE(""https://docs.google.c"&amp;"om/spreadsheets/d/1ctPm1vUzcUCPuOj9-eoHUD85PqINFqUB0TjdSWmR5-c/edit?usp=share_link"",""ยะลา!L199"")+IMPORTRANGE(""https://docs.google.com/spreadsheets/d/1YiDIE7Klmt8osgdapRqYWNr7iPGFSsiJqq46S7PYRE0/edit?usp=share_link"",""ระนอง!L199"")+IMPORTRANGE(""https"&amp;"://docs.google.com/spreadsheets/d/16o_4B-V7AWw_6E93bSpXj_XxVv1oVQctk-B6z1dNEWU/edit?usp=share_link"",""สงขลา!L199"")+IMPORTRANGE(""https://docs.google.com/spreadsheets/d/16cywr71Fj4fA5OGRHsZh30ZG2gwJhMAQv69oVBzYHv0/edit?usp=share_link"",""สตูล!L199"")+IMP"&amp;"ORTRANGE(""https://docs.google.com/spreadsheets/d/1vO9Sws6kMtrVtyvrAJptINXjK8TFBoX9xLYOVK_C8bQ/edit?usp=share_link"",""สุราษฎร์ธานี!L199"")"),28000)</f>
        <v>28000</v>
      </c>
      <c r="M199" s="37"/>
      <c r="N199" s="282">
        <f ca="1">IFERROR(__xludf.DUMMYFUNCTION("IMPORTRANGE(""https://docs.google.com/spreadsheets/d/1kC41EOXpGBFOW658Fs3oD8beYlym0-zO54WY-2Qnp9I/edit?usp=share_link"",""กระบี่!N199"")
+IMPORTRANGE(""https://docs.google.com/spreadsheets/d/1FbzMZY_f3MDiEuK7RpCQKrilJ_kpX0Wm7QBZ1L7EjIU/edit?usp=share_link"&amp;""",""ชุมพร!N199"")+IMPORTRANGE(""https://docs.google.com/spreadsheets/d/1v5sN-00LrXuhBxw4dkh2GrG_z4l5oAqOdJRBCsUyMaM/edit?usp=share_link"",""ตรัง!N199"")+IMPORTRANGE(""https://docs.google.com/spreadsheets/d/1T5rRTzFc79aSIvqnzkZNvwPstq829QYz_xALlO1Z0s8/edi"&amp;"t?usp=share_link"",""นครศรีธรรมราช!N199"")+IMPORTRANGE(""https://docs.google.com/spreadsheets/d/1BeghqumK0IvCmRd2QOy6_afsZq7ZtAGrSnVJy2u7WmY/edit?usp=share_link"",""นราธิวาส!N199"")+IMPORTRANGE(""https://docs.google.com/spreadsheets/d/1IwnW3-jjRf74MCLW-6P"&amp;"iFwMUffRQXZwZA7YM609NmRc/edit?usp=share_link"",""ปัตตานี!N199"")+IMPORTRANGE(""https://docs.google.com/spreadsheets/d/1vl4QWbWdFruual5o_wdo6ZSqXZ_it806oja4CctTLKs/edit?usp=share_link"",""พังงา!N199"")+IMPORTRANGE(""https://docs.google.com/spreadsheets/d/1"&amp;"b6QssHQp2FoAPSMKHOy273KNzAomaIKhtdlvuZ_zDNE/edit?usp=share_link"",""พัทลุง!N199"")+IMPORTRANGE(""https://docs.google.com/spreadsheets/d/1o7UZe4_OqlqtLDHrj01Z2YFRSZDf1DMy1n3XViHaxRc/edit?usp=share_link"",""ภูเก็ต!N199"")+IMPORTRANGE(""https://docs.google.c"&amp;"om/spreadsheets/d/1ctPm1vUzcUCPuOj9-eoHUD85PqINFqUB0TjdSWmR5-c/edit?usp=share_link"",""ยะลา!N199"")+IMPORTRANGE(""https://docs.google.com/spreadsheets/d/1YiDIE7Klmt8osgdapRqYWNr7iPGFSsiJqq46S7PYRE0/edit?usp=share_link"",""ระนอง!N199"")+IMPORTRANGE(""https"&amp;"://docs.google.com/spreadsheets/d/16o_4B-V7AWw_6E93bSpXj_XxVv1oVQctk-B6z1dNEWU/edit?usp=share_link"",""สงขลา!N199"")+IMPORTRANGE(""https://docs.google.com/spreadsheets/d/16cywr71Fj4fA5OGRHsZh30ZG2gwJhMAQv69oVBzYHv0/edit?usp=share_link"",""สตูล!N199"")+IMP"&amp;"ORTRANGE(""https://docs.google.com/spreadsheets/d/1vO9Sws6kMtrVtyvrAJptINXjK8TFBoX9xLYOVK_C8bQ/edit?usp=share_link"",""สุราษฎร์ธานี!N199"")"),26749)</f>
        <v>26749</v>
      </c>
      <c r="O199" s="37"/>
      <c r="P199" s="3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20.25" customHeight="1">
      <c r="A200" s="283"/>
      <c r="B200" s="280"/>
      <c r="C200" s="210"/>
      <c r="D200" s="215" t="s">
        <v>98</v>
      </c>
      <c r="E200" s="32"/>
      <c r="F200" s="32"/>
      <c r="G200" s="34"/>
      <c r="H200" s="284" t="s">
        <v>12</v>
      </c>
      <c r="I200" s="36"/>
      <c r="J200" s="36"/>
      <c r="K200" s="37"/>
      <c r="L200" s="37">
        <f ca="1">IFERROR(__xludf.DUMMYFUNCTION("IMPORTRANGE(""https://docs.google.com/spreadsheets/d/1kC41EOXpGBFOW658Fs3oD8beYlym0-zO54WY-2Qnp9I/edit?usp=share_link"",""กระบี่!L200"")
+IMPORTRANGE(""https://docs.google.com/spreadsheets/d/1FbzMZY_f3MDiEuK7RpCQKrilJ_kpX0Wm7QBZ1L7EjIU/edit?usp=share_link"&amp;""",""ชุมพร!L200"")+IMPORTRANGE(""https://docs.google.com/spreadsheets/d/1v5sN-00LrXuhBxw4dkh2GrG_z4l5oAqOdJRBCsUyMaM/edit?usp=share_link"",""ตรัง!L200"")+IMPORTRANGE(""https://docs.google.com/spreadsheets/d/1T5rRTzFc79aSIvqnzkZNvwPstq829QYz_xALlO1Z0s8/edi"&amp;"t?usp=share_link"",""นครศรีธรรมราช!L200"")+IMPORTRANGE(""https://docs.google.com/spreadsheets/d/1BeghqumK0IvCmRd2QOy6_afsZq7ZtAGrSnVJy2u7WmY/edit?usp=share_link"",""นราธิวาส!L200"")+IMPORTRANGE(""https://docs.google.com/spreadsheets/d/1IwnW3-jjRf74MCLW-6P"&amp;"iFwMUffRQXZwZA7YM609NmRc/edit?usp=share_link"",""ปัตตานี!L200"")+IMPORTRANGE(""https://docs.google.com/spreadsheets/d/1vl4QWbWdFruual5o_wdo6ZSqXZ_it806oja4CctTLKs/edit?usp=share_link"",""พังงา!L200"")+IMPORTRANGE(""https://docs.google.com/spreadsheets/d/1"&amp;"b6QssHQp2FoAPSMKHOy273KNzAomaIKhtdlvuZ_zDNE/edit?usp=share_link"",""พัทลุง!L200"")+IMPORTRANGE(""https://docs.google.com/spreadsheets/d/1o7UZe4_OqlqtLDHrj01Z2YFRSZDf1DMy1n3XViHaxRc/edit?usp=share_link"",""ภูเก็ต!L200"")+IMPORTRANGE(""https://docs.google.c"&amp;"om/spreadsheets/d/1ctPm1vUzcUCPuOj9-eoHUD85PqINFqUB0TjdSWmR5-c/edit?usp=share_link"",""ยะลา!L200"")+IMPORTRANGE(""https://docs.google.com/spreadsheets/d/1YiDIE7Klmt8osgdapRqYWNr7iPGFSsiJqq46S7PYRE0/edit?usp=share_link"",""ระนอง!L200"")+IMPORTRANGE(""https"&amp;"://docs.google.com/spreadsheets/d/16o_4B-V7AWw_6E93bSpXj_XxVv1oVQctk-B6z1dNEWU/edit?usp=share_link"",""สงขลา!L200"")+IMPORTRANGE(""https://docs.google.com/spreadsheets/d/16cywr71Fj4fA5OGRHsZh30ZG2gwJhMAQv69oVBzYHv0/edit?usp=share_link"",""สตูล!L200"")+IMP"&amp;"ORTRANGE(""https://docs.google.com/spreadsheets/d/1vO9Sws6kMtrVtyvrAJptINXjK8TFBoX9xLYOVK_C8bQ/edit?usp=share_link"",""สุราษฎร์ธานี!L200"")"),224000)</f>
        <v>224000</v>
      </c>
      <c r="M200" s="37"/>
      <c r="N200" s="282">
        <f ca="1">IFERROR(__xludf.DUMMYFUNCTION("IMPORTRANGE(""https://docs.google.com/spreadsheets/d/1kC41EOXpGBFOW658Fs3oD8beYlym0-zO54WY-2Qnp9I/edit?usp=share_link"",""กระบี่!N200"")
+IMPORTRANGE(""https://docs.google.com/spreadsheets/d/1FbzMZY_f3MDiEuK7RpCQKrilJ_kpX0Wm7QBZ1L7EjIU/edit?usp=share_link"&amp;""",""ชุมพร!N200"")+IMPORTRANGE(""https://docs.google.com/spreadsheets/d/1v5sN-00LrXuhBxw4dkh2GrG_z4l5oAqOdJRBCsUyMaM/edit?usp=share_link"",""ตรัง!N200"")+IMPORTRANGE(""https://docs.google.com/spreadsheets/d/1T5rRTzFc79aSIvqnzkZNvwPstq829QYz_xALlO1Z0s8/edi"&amp;"t?usp=share_link"",""นครศรีธรรมราช!N200"")+IMPORTRANGE(""https://docs.google.com/spreadsheets/d/1BeghqumK0IvCmRd2QOy6_afsZq7ZtAGrSnVJy2u7WmY/edit?usp=share_link"",""นราธิวาส!N200"")+IMPORTRANGE(""https://docs.google.com/spreadsheets/d/1IwnW3-jjRf74MCLW-6P"&amp;"iFwMUffRQXZwZA7YM609NmRc/edit?usp=share_link"",""ปัตตานี!N200"")+IMPORTRANGE(""https://docs.google.com/spreadsheets/d/1vl4QWbWdFruual5o_wdo6ZSqXZ_it806oja4CctTLKs/edit?usp=share_link"",""พังงา!N200"")+IMPORTRANGE(""https://docs.google.com/spreadsheets/d/1"&amp;"b6QssHQp2FoAPSMKHOy273KNzAomaIKhtdlvuZ_zDNE/edit?usp=share_link"",""พัทลุง!N200"")+IMPORTRANGE(""https://docs.google.com/spreadsheets/d/1o7UZe4_OqlqtLDHrj01Z2YFRSZDf1DMy1n3XViHaxRc/edit?usp=share_link"",""ภูเก็ต!N200"")+IMPORTRANGE(""https://docs.google.c"&amp;"om/spreadsheets/d/1ctPm1vUzcUCPuOj9-eoHUD85PqINFqUB0TjdSWmR5-c/edit?usp=share_link"",""ยะลา!N200"")+IMPORTRANGE(""https://docs.google.com/spreadsheets/d/1YiDIE7Klmt8osgdapRqYWNr7iPGFSsiJqq46S7PYRE0/edit?usp=share_link"",""ระนอง!N200"")+IMPORTRANGE(""https"&amp;"://docs.google.com/spreadsheets/d/16o_4B-V7AWw_6E93bSpXj_XxVv1oVQctk-B6z1dNEWU/edit?usp=share_link"",""สงขลา!N200"")+IMPORTRANGE(""https://docs.google.com/spreadsheets/d/16cywr71Fj4fA5OGRHsZh30ZG2gwJhMAQv69oVBzYHv0/edit?usp=share_link"",""สตูล!N200"")+IMP"&amp;"ORTRANGE(""https://docs.google.com/spreadsheets/d/1vO9Sws6kMtrVtyvrAJptINXjK8TFBoX9xLYOVK_C8bQ/edit?usp=share_link"",""สุราษฎร์ธานี!N200"")"),225161)</f>
        <v>225161</v>
      </c>
      <c r="O200" s="37"/>
      <c r="P200" s="37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20.25" customHeight="1">
      <c r="A201" s="283"/>
      <c r="B201" s="280"/>
      <c r="C201" s="210"/>
      <c r="D201" s="215" t="s">
        <v>99</v>
      </c>
      <c r="E201" s="32"/>
      <c r="F201" s="32"/>
      <c r="G201" s="34"/>
      <c r="H201" s="284" t="s">
        <v>12</v>
      </c>
      <c r="I201" s="36"/>
      <c r="J201" s="36"/>
      <c r="K201" s="37"/>
      <c r="L201" s="37">
        <f ca="1">IFERROR(__xludf.DUMMYFUNCTION("IMPORTRANGE(""https://docs.google.com/spreadsheets/d/1kC41EOXpGBFOW658Fs3oD8beYlym0-zO54WY-2Qnp9I/edit?usp=share_link"",""กระบี่!L201"")
+IMPORTRANGE(""https://docs.google.com/spreadsheets/d/1FbzMZY_f3MDiEuK7RpCQKrilJ_kpX0Wm7QBZ1L7EjIU/edit?usp=share_link"&amp;""",""ชุมพร!L201"")+IMPORTRANGE(""https://docs.google.com/spreadsheets/d/1v5sN-00LrXuhBxw4dkh2GrG_z4l5oAqOdJRBCsUyMaM/edit?usp=share_link"",""ตรัง!L201"")+IMPORTRANGE(""https://docs.google.com/spreadsheets/d/1T5rRTzFc79aSIvqnzkZNvwPstq829QYz_xALlO1Z0s8/edi"&amp;"t?usp=share_link"",""นครศรีธรรมราช!L201"")+IMPORTRANGE(""https://docs.google.com/spreadsheets/d/1BeghqumK0IvCmRd2QOy6_afsZq7ZtAGrSnVJy2u7WmY/edit?usp=share_link"",""นราธิวาส!L201"")+IMPORTRANGE(""https://docs.google.com/spreadsheets/d/1IwnW3-jjRf74MCLW-6P"&amp;"iFwMUffRQXZwZA7YM609NmRc/edit?usp=share_link"",""ปัตตานี!L201"")+IMPORTRANGE(""https://docs.google.com/spreadsheets/d/1vl4QWbWdFruual5o_wdo6ZSqXZ_it806oja4CctTLKs/edit?usp=share_link"",""พังงา!L201"")+IMPORTRANGE(""https://docs.google.com/spreadsheets/d/1"&amp;"b6QssHQp2FoAPSMKHOy273KNzAomaIKhtdlvuZ_zDNE/edit?usp=share_link"",""พัทลุง!L201"")+IMPORTRANGE(""https://docs.google.com/spreadsheets/d/1o7UZe4_OqlqtLDHrj01Z2YFRSZDf1DMy1n3XViHaxRc/edit?usp=share_link"",""ภูเก็ต!L201"")+IMPORTRANGE(""https://docs.google.c"&amp;"om/spreadsheets/d/1ctPm1vUzcUCPuOj9-eoHUD85PqINFqUB0TjdSWmR5-c/edit?usp=share_link"",""ยะลา!L201"")+IMPORTRANGE(""https://docs.google.com/spreadsheets/d/1YiDIE7Klmt8osgdapRqYWNr7iPGFSsiJqq46S7PYRE0/edit?usp=share_link"",""ระนอง!L201"")+IMPORTRANGE(""https"&amp;"://docs.google.com/spreadsheets/d/16o_4B-V7AWw_6E93bSpXj_XxVv1oVQctk-B6z1dNEWU/edit?usp=share_link"",""สงขลา!L201"")+IMPORTRANGE(""https://docs.google.com/spreadsheets/d/16cywr71Fj4fA5OGRHsZh30ZG2gwJhMAQv69oVBzYHv0/edit?usp=share_link"",""สตูล!L201"")+IMP"&amp;"ORTRANGE(""https://docs.google.com/spreadsheets/d/1vO9Sws6kMtrVtyvrAJptINXjK8TFBoX9xLYOVK_C8bQ/edit?usp=share_link"",""สุราษฎร์ธานี!L201"")"),112000)</f>
        <v>112000</v>
      </c>
      <c r="M201" s="37"/>
      <c r="N201" s="282">
        <f ca="1">IFERROR(__xludf.DUMMYFUNCTION("IMPORTRANGE(""https://docs.google.com/spreadsheets/d/1kC41EOXpGBFOW658Fs3oD8beYlym0-zO54WY-2Qnp9I/edit?usp=share_link"",""กระบี่!N201"")
+IMPORTRANGE(""https://docs.google.com/spreadsheets/d/1FbzMZY_f3MDiEuK7RpCQKrilJ_kpX0Wm7QBZ1L7EjIU/edit?usp=share_link"&amp;""",""ชุมพร!N201"")+IMPORTRANGE(""https://docs.google.com/spreadsheets/d/1v5sN-00LrXuhBxw4dkh2GrG_z4l5oAqOdJRBCsUyMaM/edit?usp=share_link"",""ตรัง!N201"")+IMPORTRANGE(""https://docs.google.com/spreadsheets/d/1T5rRTzFc79aSIvqnzkZNvwPstq829QYz_xALlO1Z0s8/edi"&amp;"t?usp=share_link"",""นครศรีธรรมราช!N201"")+IMPORTRANGE(""https://docs.google.com/spreadsheets/d/1BeghqumK0IvCmRd2QOy6_afsZq7ZtAGrSnVJy2u7WmY/edit?usp=share_link"",""นราธิวาส!N201"")+IMPORTRANGE(""https://docs.google.com/spreadsheets/d/1IwnW3-jjRf74MCLW-6P"&amp;"iFwMUffRQXZwZA7YM609NmRc/edit?usp=share_link"",""ปัตตานี!N201"")+IMPORTRANGE(""https://docs.google.com/spreadsheets/d/1vl4QWbWdFruual5o_wdo6ZSqXZ_it806oja4CctTLKs/edit?usp=share_link"",""พังงา!N201"")+IMPORTRANGE(""https://docs.google.com/spreadsheets/d/1"&amp;"b6QssHQp2FoAPSMKHOy273KNzAomaIKhtdlvuZ_zDNE/edit?usp=share_link"",""พัทลุง!N201"")+IMPORTRANGE(""https://docs.google.com/spreadsheets/d/1o7UZe4_OqlqtLDHrj01Z2YFRSZDf1DMy1n3XViHaxRc/edit?usp=share_link"",""ภูเก็ต!N201"")+IMPORTRANGE(""https://docs.google.c"&amp;"om/spreadsheets/d/1ctPm1vUzcUCPuOj9-eoHUD85PqINFqUB0TjdSWmR5-c/edit?usp=share_link"",""ยะลา!N201"")+IMPORTRANGE(""https://docs.google.com/spreadsheets/d/1YiDIE7Klmt8osgdapRqYWNr7iPGFSsiJqq46S7PYRE0/edit?usp=share_link"",""ระนอง!N201"")+IMPORTRANGE(""https"&amp;"://docs.google.com/spreadsheets/d/16o_4B-V7AWw_6E93bSpXj_XxVv1oVQctk-B6z1dNEWU/edit?usp=share_link"",""สงขลา!N201"")+IMPORTRANGE(""https://docs.google.com/spreadsheets/d/16cywr71Fj4fA5OGRHsZh30ZG2gwJhMAQv69oVBzYHv0/edit?usp=share_link"",""สตูล!N201"")+IMP"&amp;"ORTRANGE(""https://docs.google.com/spreadsheets/d/1vO9Sws6kMtrVtyvrAJptINXjK8TFBoX9xLYOVK_C8bQ/edit?usp=share_link"",""สุราษฎร์ธานี!N201"")"),112090)</f>
        <v>112090</v>
      </c>
      <c r="O201" s="37"/>
      <c r="P201" s="37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20.25" customHeight="1">
      <c r="A202" s="283"/>
      <c r="B202" s="280"/>
      <c r="C202" s="210"/>
      <c r="D202" s="215" t="s">
        <v>100</v>
      </c>
      <c r="E202" s="32"/>
      <c r="F202" s="32"/>
      <c r="G202" s="34"/>
      <c r="H202" s="284" t="s">
        <v>12</v>
      </c>
      <c r="I202" s="36"/>
      <c r="J202" s="36"/>
      <c r="K202" s="37"/>
      <c r="L202" s="37">
        <f ca="1">IFERROR(__xludf.DUMMYFUNCTION("IMPORTRANGE(""https://docs.google.com/spreadsheets/d/1kC41EOXpGBFOW658Fs3oD8beYlym0-zO54WY-2Qnp9I/edit?usp=share_link"",""กระบี่!L202"")
+IMPORTRANGE(""https://docs.google.com/spreadsheets/d/1FbzMZY_f3MDiEuK7RpCQKrilJ_kpX0Wm7QBZ1L7EjIU/edit?usp=share_link"&amp;""",""ชุมพร!L202"")+IMPORTRANGE(""https://docs.google.com/spreadsheets/d/1v5sN-00LrXuhBxw4dkh2GrG_z4l5oAqOdJRBCsUyMaM/edit?usp=share_link"",""ตรัง!L202"")+IMPORTRANGE(""https://docs.google.com/spreadsheets/d/1T5rRTzFc79aSIvqnzkZNvwPstq829QYz_xALlO1Z0s8/edi"&amp;"t?usp=share_link"",""นครศรีธรรมราช!L202"")+IMPORTRANGE(""https://docs.google.com/spreadsheets/d/1BeghqumK0IvCmRd2QOy6_afsZq7ZtAGrSnVJy2u7WmY/edit?usp=share_link"",""นราธิวาส!L202"")+IMPORTRANGE(""https://docs.google.com/spreadsheets/d/1IwnW3-jjRf74MCLW-6P"&amp;"iFwMUffRQXZwZA7YM609NmRc/edit?usp=share_link"",""ปัตตานี!L202"")+IMPORTRANGE(""https://docs.google.com/spreadsheets/d/1vl4QWbWdFruual5o_wdo6ZSqXZ_it806oja4CctTLKs/edit?usp=share_link"",""พังงา!L202"")+IMPORTRANGE(""https://docs.google.com/spreadsheets/d/1"&amp;"b6QssHQp2FoAPSMKHOy273KNzAomaIKhtdlvuZ_zDNE/edit?usp=share_link"",""พัทลุง!L202"")+IMPORTRANGE(""https://docs.google.com/spreadsheets/d/1o7UZe4_OqlqtLDHrj01Z2YFRSZDf1DMy1n3XViHaxRc/edit?usp=share_link"",""ภูเก็ต!L202"")+IMPORTRANGE(""https://docs.google.c"&amp;"om/spreadsheets/d/1ctPm1vUzcUCPuOj9-eoHUD85PqINFqUB0TjdSWmR5-c/edit?usp=share_link"",""ยะลา!L202"")+IMPORTRANGE(""https://docs.google.com/spreadsheets/d/1YiDIE7Klmt8osgdapRqYWNr7iPGFSsiJqq46S7PYRE0/edit?usp=share_link"",""ระนอง!L202"")+IMPORTRANGE(""https"&amp;"://docs.google.com/spreadsheets/d/16o_4B-V7AWw_6E93bSpXj_XxVv1oVQctk-B6z1dNEWU/edit?usp=share_link"",""สงขลา!L202"")+IMPORTRANGE(""https://docs.google.com/spreadsheets/d/16cywr71Fj4fA5OGRHsZh30ZG2gwJhMAQv69oVBzYHv0/edit?usp=share_link"",""สตูล!L202"")+IMP"&amp;"ORTRANGE(""https://docs.google.com/spreadsheets/d/1vO9Sws6kMtrVtyvrAJptINXjK8TFBoX9xLYOVK_C8bQ/edit?usp=share_link"",""สุราษฎร์ธานี!L202"")"),10000)</f>
        <v>10000</v>
      </c>
      <c r="M202" s="37"/>
      <c r="N202" s="282">
        <f ca="1">IFERROR(__xludf.DUMMYFUNCTION("IMPORTRANGE(""https://docs.google.com/spreadsheets/d/1kC41EOXpGBFOW658Fs3oD8beYlym0-zO54WY-2Qnp9I/edit?usp=share_link"",""กระบี่!N202"")
+IMPORTRANGE(""https://docs.google.com/spreadsheets/d/1FbzMZY_f3MDiEuK7RpCQKrilJ_kpX0Wm7QBZ1L7EjIU/edit?usp=share_link"&amp;""",""ชุมพร!N202"")+IMPORTRANGE(""https://docs.google.com/spreadsheets/d/1v5sN-00LrXuhBxw4dkh2GrG_z4l5oAqOdJRBCsUyMaM/edit?usp=share_link"",""ตรัง!N202"")+IMPORTRANGE(""https://docs.google.com/spreadsheets/d/1T5rRTzFc79aSIvqnzkZNvwPstq829QYz_xALlO1Z0s8/edi"&amp;"t?usp=share_link"",""นครศรีธรรมราช!N202"")+IMPORTRANGE(""https://docs.google.com/spreadsheets/d/1BeghqumK0IvCmRd2QOy6_afsZq7ZtAGrSnVJy2u7WmY/edit?usp=share_link"",""นราธิวาส!N202"")+IMPORTRANGE(""https://docs.google.com/spreadsheets/d/1IwnW3-jjRf74MCLW-6P"&amp;"iFwMUffRQXZwZA7YM609NmRc/edit?usp=share_link"",""ปัตตานี!N202"")+IMPORTRANGE(""https://docs.google.com/spreadsheets/d/1vl4QWbWdFruual5o_wdo6ZSqXZ_it806oja4CctTLKs/edit?usp=share_link"",""พังงา!N202"")+IMPORTRANGE(""https://docs.google.com/spreadsheets/d/1"&amp;"b6QssHQp2FoAPSMKHOy273KNzAomaIKhtdlvuZ_zDNE/edit?usp=share_link"",""พัทลุง!N202"")+IMPORTRANGE(""https://docs.google.com/spreadsheets/d/1o7UZe4_OqlqtLDHrj01Z2YFRSZDf1DMy1n3XViHaxRc/edit?usp=share_link"",""ภูเก็ต!N202"")+IMPORTRANGE(""https://docs.google.c"&amp;"om/spreadsheets/d/1ctPm1vUzcUCPuOj9-eoHUD85PqINFqUB0TjdSWmR5-c/edit?usp=share_link"",""ยะลา!N202"")+IMPORTRANGE(""https://docs.google.com/spreadsheets/d/1YiDIE7Klmt8osgdapRqYWNr7iPGFSsiJqq46S7PYRE0/edit?usp=share_link"",""ระนอง!N202"")+IMPORTRANGE(""https"&amp;"://docs.google.com/spreadsheets/d/16o_4B-V7AWw_6E93bSpXj_XxVv1oVQctk-B6z1dNEWU/edit?usp=share_link"",""สงขลา!N202"")+IMPORTRANGE(""https://docs.google.com/spreadsheets/d/16cywr71Fj4fA5OGRHsZh30ZG2gwJhMAQv69oVBzYHv0/edit?usp=share_link"",""สตูล!N202"")+IMP"&amp;"ORTRANGE(""https://docs.google.com/spreadsheets/d/1vO9Sws6kMtrVtyvrAJptINXjK8TFBoX9xLYOVK_C8bQ/edit?usp=share_link"",""สุราษฎร์ธานี!N202"")"),10000)</f>
        <v>10000</v>
      </c>
      <c r="O202" s="37"/>
      <c r="P202" s="37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20.25" customHeight="1">
      <c r="A203" s="169"/>
      <c r="B203" s="170"/>
      <c r="C203" s="210" t="s">
        <v>16</v>
      </c>
      <c r="D203" s="171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20.25" customHeight="1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269">
        <f ca="1">IFERROR(__xludf.DUMMYFUNCTION("IMPORTRANGE(""https://docs.google.com/spreadsheets/d/1kC41EOXpGBFOW658Fs3oD8beYlym0-zO54WY-2Qnp9I/edit?usp=share_link"",""กระบี่!I204"")
+IMPORTRANGE(""https://docs.google.com/spreadsheets/d/1FbzMZY_f3MDiEuK7RpCQKrilJ_kpX0Wm7QBZ1L7EjIU/edit?usp=share_link"&amp;""",""ชุมพร!I204"")+IMPORTRANGE(""https://docs.google.com/spreadsheets/d/1v5sN-00LrXuhBxw4dkh2GrG_z4l5oAqOdJRBCsUyMaM/edit?usp=share_link"",""ตรัง!I204"")+IMPORTRANGE(""https://docs.google.com/spreadsheets/d/1T5rRTzFc79aSIvqnzkZNvwPstq829QYz_xALlO1Z0s8/edi"&amp;"t?usp=share_link"",""นครศรีธรรมราช!I204"")+IMPORTRANGE(""https://docs.google.com/spreadsheets/d/1BeghqumK0IvCmRd2QOy6_afsZq7ZtAGrSnVJy2u7WmY/edit?usp=share_link"",""นราธิวาส!I204"")+IMPORTRANGE(""https://docs.google.com/spreadsheets/d/1IwnW3-jjRf74MCLW-6P"&amp;"iFwMUffRQXZwZA7YM609NmRc/edit?usp=share_link"",""ปัตตานี!I204"")+IMPORTRANGE(""https://docs.google.com/spreadsheets/d/1vl4QWbWdFruual5o_wdo6ZSqXZ_it806oja4CctTLKs/edit?usp=share_link"",""พังงา!I204"")+IMPORTRANGE(""https://docs.google.com/spreadsheets/d/1"&amp;"b6QssHQp2FoAPSMKHOy273KNzAomaIKhtdlvuZ_zDNE/edit?usp=share_link"",""พัทลุง!I204"")+IMPORTRANGE(""https://docs.google.com/spreadsheets/d/1o7UZe4_OqlqtLDHrj01Z2YFRSZDf1DMy1n3XViHaxRc/edit?usp=share_link"",""ภูเก็ต!I204"")+IMPORTRANGE(""https://docs.google.c"&amp;"om/spreadsheets/d/1ctPm1vUzcUCPuOj9-eoHUD85PqINFqUB0TjdSWmR5-c/edit?usp=share_link"",""ยะลา!I204"")+IMPORTRANGE(""https://docs.google.com/spreadsheets/d/1YiDIE7Klmt8osgdapRqYWNr7iPGFSsiJqq46S7PYRE0/edit?usp=share_link"",""ระนอง!I204"")+IMPORTRANGE(""https"&amp;"://docs.google.com/spreadsheets/d/16o_4B-V7AWw_6E93bSpXj_XxVv1oVQctk-B6z1dNEWU/edit?usp=share_link"",""สงขลา!I204"")+IMPORTRANGE(""https://docs.google.com/spreadsheets/d/16cywr71Fj4fA5OGRHsZh30ZG2gwJhMAQv69oVBzYHv0/edit?usp=share_link"",""สตูล!I204"")+IMP"&amp;"ORTRANGE(""https://docs.google.com/spreadsheets/d/1vO9Sws6kMtrVtyvrAJptINXjK8TFBoX9xLYOVK_C8bQ/edit?usp=share_link"",""สุราษฎร์ธานี!I204"")"),28)</f>
        <v>28</v>
      </c>
      <c r="J204" s="182">
        <f ca="1">IFERROR(__xludf.DUMMYFUNCTION("IMPORTRANGE(""https://docs.google.com/spreadsheets/d/1kC41EOXpGBFOW658Fs3oD8beYlym0-zO54WY-2Qnp9I/edit?usp=share_link"",""กระบี่!J204"")
+IMPORTRANGE(""https://docs.google.com/spreadsheets/d/1FbzMZY_f3MDiEuK7RpCQKrilJ_kpX0Wm7QBZ1L7EjIU/edit?usp=share_link"&amp;""",""ชุมพร!J204"")+IMPORTRANGE(""https://docs.google.com/spreadsheets/d/1v5sN-00LrXuhBxw4dkh2GrG_z4l5oAqOdJRBCsUyMaM/edit?usp=share_link"",""ตรัง!J204"")+IMPORTRANGE(""https://docs.google.com/spreadsheets/d/1T5rRTzFc79aSIvqnzkZNvwPstq829QYz_xALlO1Z0s8/edi"&amp;"t?usp=share_link"",""นครศรีธรรมราช!J204"")+IMPORTRANGE(""https://docs.google.com/spreadsheets/d/1BeghqumK0IvCmRd2QOy6_afsZq7ZtAGrSnVJy2u7WmY/edit?usp=share_link"",""นราธิวาส!J204"")+IMPORTRANGE(""https://docs.google.com/spreadsheets/d/1IwnW3-jjRf74MCLW-6P"&amp;"iFwMUffRQXZwZA7YM609NmRc/edit?usp=share_link"",""ปัตตานี!J204"")+IMPORTRANGE(""https://docs.google.com/spreadsheets/d/1vl4QWbWdFruual5o_wdo6ZSqXZ_it806oja4CctTLKs/edit?usp=share_link"",""พังงา!J204"")+IMPORTRANGE(""https://docs.google.com/spreadsheets/d/1"&amp;"b6QssHQp2FoAPSMKHOy273KNzAomaIKhtdlvuZ_zDNE/edit?usp=share_link"",""พัทลุง!J204"")+IMPORTRANGE(""https://docs.google.com/spreadsheets/d/1o7UZe4_OqlqtLDHrj01Z2YFRSZDf1DMy1n3XViHaxRc/edit?usp=share_link"",""ภูเก็ต!J204"")+IMPORTRANGE(""https://docs.google.c"&amp;"om/spreadsheets/d/1ctPm1vUzcUCPuOj9-eoHUD85PqINFqUB0TjdSWmR5-c/edit?usp=share_link"",""ยะลา!J204"")+IMPORTRANGE(""https://docs.google.com/spreadsheets/d/1YiDIE7Klmt8osgdapRqYWNr7iPGFSsiJqq46S7PYRE0/edit?usp=share_link"",""ระนอง!J204"")+IMPORTRANGE(""https"&amp;"://docs.google.com/spreadsheets/d/16o_4B-V7AWw_6E93bSpXj_XxVv1oVQctk-B6z1dNEWU/edit?usp=share_link"",""สงขลา!J204"")+IMPORTRANGE(""https://docs.google.com/spreadsheets/d/16cywr71Fj4fA5OGRHsZh30ZG2gwJhMAQv69oVBzYHv0/edit?usp=share_link"",""สตูล!J204"")+IMP"&amp;"ORTRANGE(""https://docs.google.com/spreadsheets/d/1vO9Sws6kMtrVtyvrAJptINXjK8TFBoX9xLYOVK_C8bQ/edit?usp=share_link"",""สุราษฎร์ธานี!J204"")"),28)</f>
        <v>28</v>
      </c>
      <c r="K204" s="162">
        <f ca="1">IF(I204&gt;0,J204*100/I204,0)</f>
        <v>100</v>
      </c>
      <c r="L204" s="37"/>
      <c r="M204" s="37"/>
      <c r="N204" s="37"/>
      <c r="O204" s="37"/>
      <c r="P204" s="3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20.25" customHeight="1">
      <c r="A205" s="169"/>
      <c r="B205" s="170"/>
      <c r="C205" s="170"/>
      <c r="D205" s="180" t="s">
        <v>59</v>
      </c>
      <c r="E205" s="177"/>
      <c r="F205" s="177"/>
      <c r="G205" s="178"/>
      <c r="H205" s="174"/>
      <c r="I205" s="36"/>
      <c r="J205" s="36"/>
      <c r="K205" s="162"/>
      <c r="L205" s="37"/>
      <c r="M205" s="37"/>
      <c r="N205" s="37"/>
      <c r="O205" s="37"/>
      <c r="P205" s="3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20.25" customHeight="1">
      <c r="A206" s="169"/>
      <c r="B206" s="170"/>
      <c r="C206" s="170"/>
      <c r="D206" s="177"/>
      <c r="E206" s="196" t="s">
        <v>102</v>
      </c>
      <c r="F206" s="286"/>
      <c r="G206" s="287"/>
      <c r="H206" s="288" t="s">
        <v>96</v>
      </c>
      <c r="I206" s="269">
        <f ca="1">IFERROR(__xludf.DUMMYFUNCTION("IMPORTRANGE(""https://docs.google.com/spreadsheets/d/1kC41EOXpGBFOW658Fs3oD8beYlym0-zO54WY-2Qnp9I/edit?usp=share_link"",""กระบี่!I206"")
+IMPORTRANGE(""https://docs.google.com/spreadsheets/d/1FbzMZY_f3MDiEuK7RpCQKrilJ_kpX0Wm7QBZ1L7EjIU/edit?usp=share_link"&amp;""",""ชุมพร!I206"")+IMPORTRANGE(""https://docs.google.com/spreadsheets/d/1v5sN-00LrXuhBxw4dkh2GrG_z4l5oAqOdJRBCsUyMaM/edit?usp=share_link"",""ตรัง!I206"")+IMPORTRANGE(""https://docs.google.com/spreadsheets/d/1T5rRTzFc79aSIvqnzkZNvwPstq829QYz_xALlO1Z0s8/edi"&amp;"t?usp=share_link"",""นครศรีธรรมราช!I206"")+IMPORTRANGE(""https://docs.google.com/spreadsheets/d/1BeghqumK0IvCmRd2QOy6_afsZq7ZtAGrSnVJy2u7WmY/edit?usp=share_link"",""นราธิวาส!I206"")+IMPORTRANGE(""https://docs.google.com/spreadsheets/d/1IwnW3-jjRf74MCLW-6P"&amp;"iFwMUffRQXZwZA7YM609NmRc/edit?usp=share_link"",""ปัตตานี!I206"")+IMPORTRANGE(""https://docs.google.com/spreadsheets/d/1vl4QWbWdFruual5o_wdo6ZSqXZ_it806oja4CctTLKs/edit?usp=share_link"",""พังงา!I206"")+IMPORTRANGE(""https://docs.google.com/spreadsheets/d/1"&amp;"b6QssHQp2FoAPSMKHOy273KNzAomaIKhtdlvuZ_zDNE/edit?usp=share_link"",""พัทลุง!I206"")+IMPORTRANGE(""https://docs.google.com/spreadsheets/d/1o7UZe4_OqlqtLDHrj01Z2YFRSZDf1DMy1n3XViHaxRc/edit?usp=share_link"",""ภูเก็ต!I206"")+IMPORTRANGE(""https://docs.google.c"&amp;"om/spreadsheets/d/1ctPm1vUzcUCPuOj9-eoHUD85PqINFqUB0TjdSWmR5-c/edit?usp=share_link"",""ยะลา!I206"")+IMPORTRANGE(""https://docs.google.com/spreadsheets/d/1YiDIE7Klmt8osgdapRqYWNr7iPGFSsiJqq46S7PYRE0/edit?usp=share_link"",""ระนอง!I206"")+IMPORTRANGE(""https"&amp;"://docs.google.com/spreadsheets/d/16o_4B-V7AWw_6E93bSpXj_XxVv1oVQctk-B6z1dNEWU/edit?usp=share_link"",""สงขลา!I206"")+IMPORTRANGE(""https://docs.google.com/spreadsheets/d/16cywr71Fj4fA5OGRHsZh30ZG2gwJhMAQv69oVBzYHv0/edit?usp=share_link"",""สตูล!I206"")+IMP"&amp;"ORTRANGE(""https://docs.google.com/spreadsheets/d/1vO9Sws6kMtrVtyvrAJptINXjK8TFBoX9xLYOVK_C8bQ/edit?usp=share_link"",""สุราษฎร์ธานี!I206"")"),28)</f>
        <v>28</v>
      </c>
      <c r="J206" s="182">
        <f ca="1">IFERROR(__xludf.DUMMYFUNCTION("IMPORTRANGE(""https://docs.google.com/spreadsheets/d/1kC41EOXpGBFOW658Fs3oD8beYlym0-zO54WY-2Qnp9I/edit?usp=share_link"",""กระบี่!J206"")
+IMPORTRANGE(""https://docs.google.com/spreadsheets/d/1FbzMZY_f3MDiEuK7RpCQKrilJ_kpX0Wm7QBZ1L7EjIU/edit?usp=share_link"&amp;""",""ชุมพร!J206"")+IMPORTRANGE(""https://docs.google.com/spreadsheets/d/1v5sN-00LrXuhBxw4dkh2GrG_z4l5oAqOdJRBCsUyMaM/edit?usp=share_link"",""ตรัง!J206"")+IMPORTRANGE(""https://docs.google.com/spreadsheets/d/1T5rRTzFc79aSIvqnzkZNvwPstq829QYz_xALlO1Z0s8/edi"&amp;"t?usp=share_link"",""นครศรีธรรมราช!J206"")+IMPORTRANGE(""https://docs.google.com/spreadsheets/d/1BeghqumK0IvCmRd2QOy6_afsZq7ZtAGrSnVJy2u7WmY/edit?usp=share_link"",""นราธิวาส!J206"")+IMPORTRANGE(""https://docs.google.com/spreadsheets/d/1IwnW3-jjRf74MCLW-6P"&amp;"iFwMUffRQXZwZA7YM609NmRc/edit?usp=share_link"",""ปัตตานี!J206"")+IMPORTRANGE(""https://docs.google.com/spreadsheets/d/1vl4QWbWdFruual5o_wdo6ZSqXZ_it806oja4CctTLKs/edit?usp=share_link"",""พังงา!J206"")+IMPORTRANGE(""https://docs.google.com/spreadsheets/d/1"&amp;"b6QssHQp2FoAPSMKHOy273KNzAomaIKhtdlvuZ_zDNE/edit?usp=share_link"",""พัทลุง!J206"")+IMPORTRANGE(""https://docs.google.com/spreadsheets/d/1o7UZe4_OqlqtLDHrj01Z2YFRSZDf1DMy1n3XViHaxRc/edit?usp=share_link"",""ภูเก็ต!J206"")+IMPORTRANGE(""https://docs.google.c"&amp;"om/spreadsheets/d/1ctPm1vUzcUCPuOj9-eoHUD85PqINFqUB0TjdSWmR5-c/edit?usp=share_link"",""ยะลา!J206"")+IMPORTRANGE(""https://docs.google.com/spreadsheets/d/1YiDIE7Klmt8osgdapRqYWNr7iPGFSsiJqq46S7PYRE0/edit?usp=share_link"",""ระนอง!J206"")+IMPORTRANGE(""https"&amp;"://docs.google.com/spreadsheets/d/16o_4B-V7AWw_6E93bSpXj_XxVv1oVQctk-B6z1dNEWU/edit?usp=share_link"",""สงขลา!J206"")+IMPORTRANGE(""https://docs.google.com/spreadsheets/d/16cywr71Fj4fA5OGRHsZh30ZG2gwJhMAQv69oVBzYHv0/edit?usp=share_link"",""สตูล!J206"")+IMP"&amp;"ORTRANGE(""https://docs.google.com/spreadsheets/d/1vO9Sws6kMtrVtyvrAJptINXjK8TFBoX9xLYOVK_C8bQ/edit?usp=share_link"",""สุราษฎร์ธานี!J206"")"),28)</f>
        <v>28</v>
      </c>
      <c r="K206" s="162"/>
      <c r="L206" s="37"/>
      <c r="M206" s="37"/>
      <c r="N206" s="37"/>
      <c r="O206" s="37"/>
      <c r="P206" s="3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20.25" customHeight="1">
      <c r="A207" s="169"/>
      <c r="B207" s="170"/>
      <c r="C207" s="170"/>
      <c r="D207" s="176"/>
      <c r="E207" s="180" t="s">
        <v>103</v>
      </c>
      <c r="F207" s="177"/>
      <c r="G207" s="177"/>
      <c r="H207" s="289" t="s">
        <v>104</v>
      </c>
      <c r="I207" s="36">
        <f ca="1">IFERROR(__xludf.DUMMYFUNCTION("IMPORTRANGE(""https://docs.google.com/spreadsheets/d/1kC41EOXpGBFOW658Fs3oD8beYlym0-zO54WY-2Qnp9I/edit?usp=share_link"",""กระบี่!I207"")
+IMPORTRANGE(""https://docs.google.com/spreadsheets/d/1FbzMZY_f3MDiEuK7RpCQKrilJ_kpX0Wm7QBZ1L7EjIU/edit?usp=share_link"&amp;""",""ชุมพร!I207"")+IMPORTRANGE(""https://docs.google.com/spreadsheets/d/1v5sN-00LrXuhBxw4dkh2GrG_z4l5oAqOdJRBCsUyMaM/edit?usp=share_link"",""ตรัง!I207"")+IMPORTRANGE(""https://docs.google.com/spreadsheets/d/1T5rRTzFc79aSIvqnzkZNvwPstq829QYz_xALlO1Z0s8/edi"&amp;"t?usp=share_link"",""นครศรีธรรมราช!I207"")+IMPORTRANGE(""https://docs.google.com/spreadsheets/d/1BeghqumK0IvCmRd2QOy6_afsZq7ZtAGrSnVJy2u7WmY/edit?usp=share_link"",""นราธิวาส!I207"")+IMPORTRANGE(""https://docs.google.com/spreadsheets/d/1IwnW3-jjRf74MCLW-6P"&amp;"iFwMUffRQXZwZA7YM609NmRc/edit?usp=share_link"",""ปัตตานี!I207"")+IMPORTRANGE(""https://docs.google.com/spreadsheets/d/1vl4QWbWdFruual5o_wdo6ZSqXZ_it806oja4CctTLKs/edit?usp=share_link"",""พังงา!I207"")+IMPORTRANGE(""https://docs.google.com/spreadsheets/d/1"&amp;"b6QssHQp2FoAPSMKHOy273KNzAomaIKhtdlvuZ_zDNE/edit?usp=share_link"",""พัทลุง!I207"")+IMPORTRANGE(""https://docs.google.com/spreadsheets/d/1o7UZe4_OqlqtLDHrj01Z2YFRSZDf1DMy1n3XViHaxRc/edit?usp=share_link"",""ภูเก็ต!I207"")+IMPORTRANGE(""https://docs.google.c"&amp;"om/spreadsheets/d/1ctPm1vUzcUCPuOj9-eoHUD85PqINFqUB0TjdSWmR5-c/edit?usp=share_link"",""ยะลา!I207"")+IMPORTRANGE(""https://docs.google.com/spreadsheets/d/1YiDIE7Klmt8osgdapRqYWNr7iPGFSsiJqq46S7PYRE0/edit?usp=share_link"",""ระนอง!I207"")+IMPORTRANGE(""https"&amp;"://docs.google.com/spreadsheets/d/16o_4B-V7AWw_6E93bSpXj_XxVv1oVQctk-B6z1dNEWU/edit?usp=share_link"",""สงขลา!I207"")+IMPORTRANGE(""https://docs.google.com/spreadsheets/d/16cywr71Fj4fA5OGRHsZh30ZG2gwJhMAQv69oVBzYHv0/edit?usp=share_link"",""สตูล!I207"")+IMP"&amp;"ORTRANGE(""https://docs.google.com/spreadsheets/d/1vO9Sws6kMtrVtyvrAJptINXjK8TFBoX9xLYOVK_C8bQ/edit?usp=share_link"",""สุราษฎร์ธานี!I207"")"),2)</f>
        <v>2</v>
      </c>
      <c r="J207" s="182">
        <f ca="1">IFERROR(__xludf.DUMMYFUNCTION("IMPORTRANGE(""https://docs.google.com/spreadsheets/d/1kC41EOXpGBFOW658Fs3oD8beYlym0-zO54WY-2Qnp9I/edit?usp=share_link"",""กระบี่!J207"")
+IMPORTRANGE(""https://docs.google.com/spreadsheets/d/1FbzMZY_f3MDiEuK7RpCQKrilJ_kpX0Wm7QBZ1L7EjIU/edit?usp=share_link"&amp;""",""ชุมพร!J207"")+IMPORTRANGE(""https://docs.google.com/spreadsheets/d/1v5sN-00LrXuhBxw4dkh2GrG_z4l5oAqOdJRBCsUyMaM/edit?usp=share_link"",""ตรัง!J207"")+IMPORTRANGE(""https://docs.google.com/spreadsheets/d/1T5rRTzFc79aSIvqnzkZNvwPstq829QYz_xALlO1Z0s8/edi"&amp;"t?usp=share_link"",""นครศรีธรรมราช!J207"")+IMPORTRANGE(""https://docs.google.com/spreadsheets/d/1BeghqumK0IvCmRd2QOy6_afsZq7ZtAGrSnVJy2u7WmY/edit?usp=share_link"",""นราธิวาส!J207"")+IMPORTRANGE(""https://docs.google.com/spreadsheets/d/1IwnW3-jjRf74MCLW-6P"&amp;"iFwMUffRQXZwZA7YM609NmRc/edit?usp=share_link"",""ปัตตานี!J207"")+IMPORTRANGE(""https://docs.google.com/spreadsheets/d/1vl4QWbWdFruual5o_wdo6ZSqXZ_it806oja4CctTLKs/edit?usp=share_link"",""พังงา!J207"")+IMPORTRANGE(""https://docs.google.com/spreadsheets/d/1"&amp;"b6QssHQp2FoAPSMKHOy273KNzAomaIKhtdlvuZ_zDNE/edit?usp=share_link"",""พัทลุง!J207"")+IMPORTRANGE(""https://docs.google.com/spreadsheets/d/1o7UZe4_OqlqtLDHrj01Z2YFRSZDf1DMy1n3XViHaxRc/edit?usp=share_link"",""ภูเก็ต!J207"")+IMPORTRANGE(""https://docs.google.c"&amp;"om/spreadsheets/d/1ctPm1vUzcUCPuOj9-eoHUD85PqINFqUB0TjdSWmR5-c/edit?usp=share_link"",""ยะลา!J207"")+IMPORTRANGE(""https://docs.google.com/spreadsheets/d/1YiDIE7Klmt8osgdapRqYWNr7iPGFSsiJqq46S7PYRE0/edit?usp=share_link"",""ระนอง!J207"")+IMPORTRANGE(""https"&amp;"://docs.google.com/spreadsheets/d/16o_4B-V7AWw_6E93bSpXj_XxVv1oVQctk-B6z1dNEWU/edit?usp=share_link"",""สงขลา!J207"")+IMPORTRANGE(""https://docs.google.com/spreadsheets/d/16cywr71Fj4fA5OGRHsZh30ZG2gwJhMAQv69oVBzYHv0/edit?usp=share_link"",""สตูล!J207"")+IMP"&amp;"ORTRANGE(""https://docs.google.com/spreadsheets/d/1vO9Sws6kMtrVtyvrAJptINXjK8TFBoX9xLYOVK_C8bQ/edit?usp=share_link"",""สุราษฎร์ธานี!J207"")"),2)</f>
        <v>2</v>
      </c>
      <c r="K207" s="162"/>
      <c r="L207" s="37"/>
      <c r="M207" s="37"/>
      <c r="N207" s="37"/>
      <c r="O207" s="37"/>
      <c r="P207" s="3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20.25" customHeight="1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21">I215</f>
        <v>10</v>
      </c>
      <c r="J208" s="271">
        <f t="shared" ca="1" si="121"/>
        <v>10</v>
      </c>
      <c r="K208" s="272">
        <f ca="1">IF(I208&gt;0,J208*100/I208,0)</f>
        <v>100</v>
      </c>
      <c r="L208" s="261"/>
      <c r="M208" s="261"/>
      <c r="N208" s="261"/>
      <c r="O208" s="261"/>
      <c r="P208" s="261"/>
    </row>
    <row r="209" spans="1:26" ht="20.25" customHeight="1">
      <c r="A209" s="146"/>
      <c r="B209" s="147"/>
      <c r="C209" s="148" t="s">
        <v>16</v>
      </c>
      <c r="D209" s="273" t="s">
        <v>17</v>
      </c>
      <c r="E209" s="147"/>
      <c r="F209" s="147"/>
      <c r="G209" s="150"/>
      <c r="H209" s="274" t="s">
        <v>12</v>
      </c>
      <c r="I209" s="278"/>
      <c r="J209" s="278"/>
      <c r="K209" s="279"/>
      <c r="L209" s="154">
        <f ca="1">L210+L211+L212</f>
        <v>140000</v>
      </c>
      <c r="M209" s="154"/>
      <c r="N209" s="154">
        <f ca="1">N210+N211+N212</f>
        <v>140000</v>
      </c>
      <c r="O209" s="154">
        <f ca="1">IF(L209&gt;0,N209*100/L209,0)</f>
        <v>100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20.25" customHeight="1">
      <c r="A210" s="158"/>
      <c r="B210" s="280"/>
      <c r="C210" s="32"/>
      <c r="D210" s="211" t="s">
        <v>97</v>
      </c>
      <c r="E210" s="32"/>
      <c r="F210" s="32"/>
      <c r="G210" s="34"/>
      <c r="H210" s="160" t="s">
        <v>12</v>
      </c>
      <c r="I210" s="161"/>
      <c r="J210" s="161"/>
      <c r="K210" s="162"/>
      <c r="L210" s="37">
        <f ca="1">IFERROR(__xludf.DUMMYFUNCTION("IMPORTRANGE(""https://docs.google.com/spreadsheets/d/1kC41EOXpGBFOW658Fs3oD8beYlym0-zO54WY-2Qnp9I/edit?usp=share_link"",""กระบี่!L210"")
+IMPORTRANGE(""https://docs.google.com/spreadsheets/d/1FbzMZY_f3MDiEuK7RpCQKrilJ_kpX0Wm7QBZ1L7EjIU/edit?usp=share_link"&amp;""",""ชุมพร!L210"")+IMPORTRANGE(""https://docs.google.com/spreadsheets/d/1v5sN-00LrXuhBxw4dkh2GrG_z4l5oAqOdJRBCsUyMaM/edit?usp=share_link"",""ตรัง!L210"")+IMPORTRANGE(""https://docs.google.com/spreadsheets/d/1T5rRTzFc79aSIvqnzkZNvwPstq829QYz_xALlO1Z0s8/edi"&amp;"t?usp=share_link"",""นครศรีธรรมราช!L210"")+IMPORTRANGE(""https://docs.google.com/spreadsheets/d/1BeghqumK0IvCmRd2QOy6_afsZq7ZtAGrSnVJy2u7WmY/edit?usp=share_link"",""นราธิวาส!L210"")+IMPORTRANGE(""https://docs.google.com/spreadsheets/d/1IwnW3-jjRf74MCLW-6P"&amp;"iFwMUffRQXZwZA7YM609NmRc/edit?usp=share_link"",""ปัตตานี!L210"")+IMPORTRANGE(""https://docs.google.com/spreadsheets/d/1vl4QWbWdFruual5o_wdo6ZSqXZ_it806oja4CctTLKs/edit?usp=share_link"",""พังงา!L210"")+IMPORTRANGE(""https://docs.google.com/spreadsheets/d/1"&amp;"b6QssHQp2FoAPSMKHOy273KNzAomaIKhtdlvuZ_zDNE/edit?usp=share_link"",""พัทลุง!L210"")+IMPORTRANGE(""https://docs.google.com/spreadsheets/d/1o7UZe4_OqlqtLDHrj01Z2YFRSZDf1DMy1n3XViHaxRc/edit?usp=share_link"",""ภูเก็ต!L210"")+IMPORTRANGE(""https://docs.google.c"&amp;"om/spreadsheets/d/1ctPm1vUzcUCPuOj9-eoHUD85PqINFqUB0TjdSWmR5-c/edit?usp=share_link"",""ยะลา!L210"")+IMPORTRANGE(""https://docs.google.com/spreadsheets/d/1YiDIE7Klmt8osgdapRqYWNr7iPGFSsiJqq46S7PYRE0/edit?usp=share_link"",""ระนอง!L210"")+IMPORTRANGE(""https"&amp;"://docs.google.com/spreadsheets/d/16o_4B-V7AWw_6E93bSpXj_XxVv1oVQctk-B6z1dNEWU/edit?usp=share_link"",""สงขลา!L210"")+IMPORTRANGE(""https://docs.google.com/spreadsheets/d/16cywr71Fj4fA5OGRHsZh30ZG2gwJhMAQv69oVBzYHv0/edit?usp=share_link"",""สตูล!L210"")+IMP"&amp;"ORTRANGE(""https://docs.google.com/spreadsheets/d/1vO9Sws6kMtrVtyvrAJptINXjK8TFBoX9xLYOVK_C8bQ/edit?usp=share_link"",""สุราษฎร์ธานี!L210"")"),10000)</f>
        <v>10000</v>
      </c>
      <c r="M210" s="37"/>
      <c r="N210" s="282">
        <f ca="1">IFERROR(__xludf.DUMMYFUNCTION("IMPORTRANGE(""https://docs.google.com/spreadsheets/d/1kC41EOXpGBFOW658Fs3oD8beYlym0-zO54WY-2Qnp9I/edit?usp=share_link"",""กระบี่!N210"")
+IMPORTRANGE(""https://docs.google.com/spreadsheets/d/1FbzMZY_f3MDiEuK7RpCQKrilJ_kpX0Wm7QBZ1L7EjIU/edit?usp=share_link"&amp;""",""ชุมพร!N210"")+IMPORTRANGE(""https://docs.google.com/spreadsheets/d/1v5sN-00LrXuhBxw4dkh2GrG_z4l5oAqOdJRBCsUyMaM/edit?usp=share_link"",""ตรัง!N210"")+IMPORTRANGE(""https://docs.google.com/spreadsheets/d/1T5rRTzFc79aSIvqnzkZNvwPstq829QYz_xALlO1Z0s8/edi"&amp;"t?usp=share_link"",""นครศรีธรรมราช!N210"")+IMPORTRANGE(""https://docs.google.com/spreadsheets/d/1BeghqumK0IvCmRd2QOy6_afsZq7ZtAGrSnVJy2u7WmY/edit?usp=share_link"",""นราธิวาส!N210"")+IMPORTRANGE(""https://docs.google.com/spreadsheets/d/1IwnW3-jjRf74MCLW-6P"&amp;"iFwMUffRQXZwZA7YM609NmRc/edit?usp=share_link"",""ปัตตานี!N210"")+IMPORTRANGE(""https://docs.google.com/spreadsheets/d/1vl4QWbWdFruual5o_wdo6ZSqXZ_it806oja4CctTLKs/edit?usp=share_link"",""พังงา!N210"")+IMPORTRANGE(""https://docs.google.com/spreadsheets/d/1"&amp;"b6QssHQp2FoAPSMKHOy273KNzAomaIKhtdlvuZ_zDNE/edit?usp=share_link"",""พัทลุง!N210"")+IMPORTRANGE(""https://docs.google.com/spreadsheets/d/1o7UZe4_OqlqtLDHrj01Z2YFRSZDf1DMy1n3XViHaxRc/edit?usp=share_link"",""ภูเก็ต!N210"")+IMPORTRANGE(""https://docs.google.c"&amp;"om/spreadsheets/d/1ctPm1vUzcUCPuOj9-eoHUD85PqINFqUB0TjdSWmR5-c/edit?usp=share_link"",""ยะลา!N210"")+IMPORTRANGE(""https://docs.google.com/spreadsheets/d/1YiDIE7Klmt8osgdapRqYWNr7iPGFSsiJqq46S7PYRE0/edit?usp=share_link"",""ระนอง!N210"")+IMPORTRANGE(""https"&amp;"://docs.google.com/spreadsheets/d/16o_4B-V7AWw_6E93bSpXj_XxVv1oVQctk-B6z1dNEWU/edit?usp=share_link"",""สงขลา!N210"")+IMPORTRANGE(""https://docs.google.com/spreadsheets/d/16cywr71Fj4fA5OGRHsZh30ZG2gwJhMAQv69oVBzYHv0/edit?usp=share_link"",""สตูล!N210"")+IMP"&amp;"ORTRANGE(""https://docs.google.com/spreadsheets/d/1vO9Sws6kMtrVtyvrAJptINXjK8TFBoX9xLYOVK_C8bQ/edit?usp=share_link"",""สุราษฎร์ธานี!N210"")"),9695)</f>
        <v>9695</v>
      </c>
      <c r="O210" s="37"/>
      <c r="P210" s="3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20.25" customHeight="1">
      <c r="A211" s="283"/>
      <c r="B211" s="280"/>
      <c r="C211" s="291"/>
      <c r="D211" s="215" t="s">
        <v>99</v>
      </c>
      <c r="E211" s="32"/>
      <c r="F211" s="32"/>
      <c r="G211" s="34"/>
      <c r="H211" s="160" t="s">
        <v>12</v>
      </c>
      <c r="I211" s="36"/>
      <c r="J211" s="36"/>
      <c r="K211" s="37"/>
      <c r="L211" s="37">
        <f ca="1">IFERROR(__xludf.DUMMYFUNCTION("IMPORTRANGE(""https://docs.google.com/spreadsheets/d/1kC41EOXpGBFOW658Fs3oD8beYlym0-zO54WY-2Qnp9I/edit?usp=share_link"",""กระบี่!L211"")
+IMPORTRANGE(""https://docs.google.com/spreadsheets/d/1FbzMZY_f3MDiEuK7RpCQKrilJ_kpX0Wm7QBZ1L7EjIU/edit?usp=share_link"&amp;""",""ชุมพร!L211"")+IMPORTRANGE(""https://docs.google.com/spreadsheets/d/1v5sN-00LrXuhBxw4dkh2GrG_z4l5oAqOdJRBCsUyMaM/edit?usp=share_link"",""ตรัง!L211"")+IMPORTRANGE(""https://docs.google.com/spreadsheets/d/1T5rRTzFc79aSIvqnzkZNvwPstq829QYz_xALlO1Z0s8/edi"&amp;"t?usp=share_link"",""นครศรีธรรมราช!L211"")+IMPORTRANGE(""https://docs.google.com/spreadsheets/d/1BeghqumK0IvCmRd2QOy6_afsZq7ZtAGrSnVJy2u7WmY/edit?usp=share_link"",""นราธิวาส!L211"")+IMPORTRANGE(""https://docs.google.com/spreadsheets/d/1IwnW3-jjRf74MCLW-6P"&amp;"iFwMUffRQXZwZA7YM609NmRc/edit?usp=share_link"",""ปัตตานี!L211"")+IMPORTRANGE(""https://docs.google.com/spreadsheets/d/1vl4QWbWdFruual5o_wdo6ZSqXZ_it806oja4CctTLKs/edit?usp=share_link"",""พังงา!L211"")+IMPORTRANGE(""https://docs.google.com/spreadsheets/d/1"&amp;"b6QssHQp2FoAPSMKHOy273KNzAomaIKhtdlvuZ_zDNE/edit?usp=share_link"",""พัทลุง!L211"")+IMPORTRANGE(""https://docs.google.com/spreadsheets/d/1o7UZe4_OqlqtLDHrj01Z2YFRSZDf1DMy1n3XViHaxRc/edit?usp=share_link"",""ภูเก็ต!L211"")+IMPORTRANGE(""https://docs.google.c"&amp;"om/spreadsheets/d/1ctPm1vUzcUCPuOj9-eoHUD85PqINFqUB0TjdSWmR5-c/edit?usp=share_link"",""ยะลา!L211"")+IMPORTRANGE(""https://docs.google.com/spreadsheets/d/1YiDIE7Klmt8osgdapRqYWNr7iPGFSsiJqq46S7PYRE0/edit?usp=share_link"",""ระนอง!L211"")+IMPORTRANGE(""https"&amp;"://docs.google.com/spreadsheets/d/16o_4B-V7AWw_6E93bSpXj_XxVv1oVQctk-B6z1dNEWU/edit?usp=share_link"",""สงขลา!L211"")+IMPORTRANGE(""https://docs.google.com/spreadsheets/d/16cywr71Fj4fA5OGRHsZh30ZG2gwJhMAQv69oVBzYHv0/edit?usp=share_link"",""สตูล!L211"")+IMP"&amp;"ORTRANGE(""https://docs.google.com/spreadsheets/d/1vO9Sws6kMtrVtyvrAJptINXjK8TFBoX9xLYOVK_C8bQ/edit?usp=share_link"",""สุราษฎร์ธานี!L211"")"),50000)</f>
        <v>50000</v>
      </c>
      <c r="M211" s="37"/>
      <c r="N211" s="282">
        <f ca="1">IFERROR(__xludf.DUMMYFUNCTION("IMPORTRANGE(""https://docs.google.com/spreadsheets/d/1kC41EOXpGBFOW658Fs3oD8beYlym0-zO54WY-2Qnp9I/edit?usp=share_link"",""กระบี่!N211"")
+IMPORTRANGE(""https://docs.google.com/spreadsheets/d/1FbzMZY_f3MDiEuK7RpCQKrilJ_kpX0Wm7QBZ1L7EjIU/edit?usp=share_link"&amp;""",""ชุมพร!N211"")+IMPORTRANGE(""https://docs.google.com/spreadsheets/d/1v5sN-00LrXuhBxw4dkh2GrG_z4l5oAqOdJRBCsUyMaM/edit?usp=share_link"",""ตรัง!N211"")+IMPORTRANGE(""https://docs.google.com/spreadsheets/d/1T5rRTzFc79aSIvqnzkZNvwPstq829QYz_xALlO1Z0s8/edi"&amp;"t?usp=share_link"",""นครศรีธรรมราช!N211"")+IMPORTRANGE(""https://docs.google.com/spreadsheets/d/1BeghqumK0IvCmRd2QOy6_afsZq7ZtAGrSnVJy2u7WmY/edit?usp=share_link"",""นราธิวาส!N211"")+IMPORTRANGE(""https://docs.google.com/spreadsheets/d/1IwnW3-jjRf74MCLW-6P"&amp;"iFwMUffRQXZwZA7YM609NmRc/edit?usp=share_link"",""ปัตตานี!N211"")+IMPORTRANGE(""https://docs.google.com/spreadsheets/d/1vl4QWbWdFruual5o_wdo6ZSqXZ_it806oja4CctTLKs/edit?usp=share_link"",""พังงา!N211"")+IMPORTRANGE(""https://docs.google.com/spreadsheets/d/1"&amp;"b6QssHQp2FoAPSMKHOy273KNzAomaIKhtdlvuZ_zDNE/edit?usp=share_link"",""พัทลุง!N211"")+IMPORTRANGE(""https://docs.google.com/spreadsheets/d/1o7UZe4_OqlqtLDHrj01Z2YFRSZDf1DMy1n3XViHaxRc/edit?usp=share_link"",""ภูเก็ต!N211"")+IMPORTRANGE(""https://docs.google.c"&amp;"om/spreadsheets/d/1ctPm1vUzcUCPuOj9-eoHUD85PqINFqUB0TjdSWmR5-c/edit?usp=share_link"",""ยะลา!N211"")+IMPORTRANGE(""https://docs.google.com/spreadsheets/d/1YiDIE7Klmt8osgdapRqYWNr7iPGFSsiJqq46S7PYRE0/edit?usp=share_link"",""ระนอง!N211"")+IMPORTRANGE(""https"&amp;"://docs.google.com/spreadsheets/d/16o_4B-V7AWw_6E93bSpXj_XxVv1oVQctk-B6z1dNEWU/edit?usp=share_link"",""สงขลา!N211"")+IMPORTRANGE(""https://docs.google.com/spreadsheets/d/16cywr71Fj4fA5OGRHsZh30ZG2gwJhMAQv69oVBzYHv0/edit?usp=share_link"",""สตูล!N211"")+IMP"&amp;"ORTRANGE(""https://docs.google.com/spreadsheets/d/1vO9Sws6kMtrVtyvrAJptINXjK8TFBoX9xLYOVK_C8bQ/edit?usp=share_link"",""สุราษฎร์ธานี!N211"")"),50000)</f>
        <v>50000</v>
      </c>
      <c r="O211" s="37"/>
      <c r="P211" s="37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20.25" customHeight="1">
      <c r="A212" s="283"/>
      <c r="B212" s="280"/>
      <c r="C212" s="291"/>
      <c r="D212" s="215" t="s">
        <v>98</v>
      </c>
      <c r="E212" s="32"/>
      <c r="F212" s="32"/>
      <c r="G212" s="34"/>
      <c r="H212" s="160" t="s">
        <v>12</v>
      </c>
      <c r="I212" s="36"/>
      <c r="J212" s="36"/>
      <c r="K212" s="37"/>
      <c r="L212" s="37">
        <f ca="1">IFERROR(__xludf.DUMMYFUNCTION("IMPORTRANGE(""https://docs.google.com/spreadsheets/d/1kC41EOXpGBFOW658Fs3oD8beYlym0-zO54WY-2Qnp9I/edit?usp=share_link"",""กระบี่!L212"")
+IMPORTRANGE(""https://docs.google.com/spreadsheets/d/1FbzMZY_f3MDiEuK7RpCQKrilJ_kpX0Wm7QBZ1L7EjIU/edit?usp=share_link"&amp;""",""ชุมพร!L212"")+IMPORTRANGE(""https://docs.google.com/spreadsheets/d/1v5sN-00LrXuhBxw4dkh2GrG_z4l5oAqOdJRBCsUyMaM/edit?usp=share_link"",""ตรัง!L212"")+IMPORTRANGE(""https://docs.google.com/spreadsheets/d/1T5rRTzFc79aSIvqnzkZNvwPstq829QYz_xALlO1Z0s8/edi"&amp;"t?usp=share_link"",""นครศรีธรรมราช!L212"")+IMPORTRANGE(""https://docs.google.com/spreadsheets/d/1BeghqumK0IvCmRd2QOy6_afsZq7ZtAGrSnVJy2u7WmY/edit?usp=share_link"",""นราธิวาส!L212"")+IMPORTRANGE(""https://docs.google.com/spreadsheets/d/1IwnW3-jjRf74MCLW-6P"&amp;"iFwMUffRQXZwZA7YM609NmRc/edit?usp=share_link"",""ปัตตานี!L212"")+IMPORTRANGE(""https://docs.google.com/spreadsheets/d/1vl4QWbWdFruual5o_wdo6ZSqXZ_it806oja4CctTLKs/edit?usp=share_link"",""พังงา!L212"")+IMPORTRANGE(""https://docs.google.com/spreadsheets/d/1"&amp;"b6QssHQp2FoAPSMKHOy273KNzAomaIKhtdlvuZ_zDNE/edit?usp=share_link"",""พัทลุง!L212"")+IMPORTRANGE(""https://docs.google.com/spreadsheets/d/1o7UZe4_OqlqtLDHrj01Z2YFRSZDf1DMy1n3XViHaxRc/edit?usp=share_link"",""ภูเก็ต!L212"")+IMPORTRANGE(""https://docs.google.c"&amp;"om/spreadsheets/d/1ctPm1vUzcUCPuOj9-eoHUD85PqINFqUB0TjdSWmR5-c/edit?usp=share_link"",""ยะลา!L212"")+IMPORTRANGE(""https://docs.google.com/spreadsheets/d/1YiDIE7Klmt8osgdapRqYWNr7iPGFSsiJqq46S7PYRE0/edit?usp=share_link"",""ระนอง!L212"")+IMPORTRANGE(""https"&amp;"://docs.google.com/spreadsheets/d/16o_4B-V7AWw_6E93bSpXj_XxVv1oVQctk-B6z1dNEWU/edit?usp=share_link"",""สงขลา!L212"")+IMPORTRANGE(""https://docs.google.com/spreadsheets/d/16cywr71Fj4fA5OGRHsZh30ZG2gwJhMAQv69oVBzYHv0/edit?usp=share_link"",""สตูล!L212"")+IMP"&amp;"ORTRANGE(""https://docs.google.com/spreadsheets/d/1vO9Sws6kMtrVtyvrAJptINXjK8TFBoX9xLYOVK_C8bQ/edit?usp=share_link"",""สุราษฎร์ธานี!L212"")"),80000)</f>
        <v>80000</v>
      </c>
      <c r="M212" s="37"/>
      <c r="N212" s="282">
        <f ca="1">IFERROR(__xludf.DUMMYFUNCTION("IMPORTRANGE(""https://docs.google.com/spreadsheets/d/1kC41EOXpGBFOW658Fs3oD8beYlym0-zO54WY-2Qnp9I/edit?usp=share_link"",""กระบี่!N212"")
+IMPORTRANGE(""https://docs.google.com/spreadsheets/d/1FbzMZY_f3MDiEuK7RpCQKrilJ_kpX0Wm7QBZ1L7EjIU/edit?usp=share_link"&amp;""",""ชุมพร!N212"")+IMPORTRANGE(""https://docs.google.com/spreadsheets/d/1v5sN-00LrXuhBxw4dkh2GrG_z4l5oAqOdJRBCsUyMaM/edit?usp=share_link"",""ตรัง!N212"")+IMPORTRANGE(""https://docs.google.com/spreadsheets/d/1T5rRTzFc79aSIvqnzkZNvwPstq829QYz_xALlO1Z0s8/edi"&amp;"t?usp=share_link"",""นครศรีธรรมราช!N212"")+IMPORTRANGE(""https://docs.google.com/spreadsheets/d/1BeghqumK0IvCmRd2QOy6_afsZq7ZtAGrSnVJy2u7WmY/edit?usp=share_link"",""นราธิวาส!N212"")+IMPORTRANGE(""https://docs.google.com/spreadsheets/d/1IwnW3-jjRf74MCLW-6P"&amp;"iFwMUffRQXZwZA7YM609NmRc/edit?usp=share_link"",""ปัตตานี!N212"")+IMPORTRANGE(""https://docs.google.com/spreadsheets/d/1vl4QWbWdFruual5o_wdo6ZSqXZ_it806oja4CctTLKs/edit?usp=share_link"",""พังงา!N212"")+IMPORTRANGE(""https://docs.google.com/spreadsheets/d/1"&amp;"b6QssHQp2FoAPSMKHOy273KNzAomaIKhtdlvuZ_zDNE/edit?usp=share_link"",""พัทลุง!N212"")+IMPORTRANGE(""https://docs.google.com/spreadsheets/d/1o7UZe4_OqlqtLDHrj01Z2YFRSZDf1DMy1n3XViHaxRc/edit?usp=share_link"",""ภูเก็ต!N212"")+IMPORTRANGE(""https://docs.google.c"&amp;"om/spreadsheets/d/1ctPm1vUzcUCPuOj9-eoHUD85PqINFqUB0TjdSWmR5-c/edit?usp=share_link"",""ยะลา!N212"")+IMPORTRANGE(""https://docs.google.com/spreadsheets/d/1YiDIE7Klmt8osgdapRqYWNr7iPGFSsiJqq46S7PYRE0/edit?usp=share_link"",""ระนอง!N212"")+IMPORTRANGE(""https"&amp;"://docs.google.com/spreadsheets/d/16o_4B-V7AWw_6E93bSpXj_XxVv1oVQctk-B6z1dNEWU/edit?usp=share_link"",""สงขลา!N212"")+IMPORTRANGE(""https://docs.google.com/spreadsheets/d/16cywr71Fj4fA5OGRHsZh30ZG2gwJhMAQv69oVBzYHv0/edit?usp=share_link"",""สตูล!N212"")+IMP"&amp;"ORTRANGE(""https://docs.google.com/spreadsheets/d/1vO9Sws6kMtrVtyvrAJptINXjK8TFBoX9xLYOVK_C8bQ/edit?usp=share_link"",""สุราษฎร์ธานี!N212"")"),80305)</f>
        <v>80305</v>
      </c>
      <c r="O212" s="37"/>
      <c r="P212" s="37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20.25" customHeight="1">
      <c r="A213" s="169"/>
      <c r="B213" s="170"/>
      <c r="C213" s="291" t="s">
        <v>16</v>
      </c>
      <c r="D213" s="171" t="s">
        <v>38</v>
      </c>
      <c r="E213" s="172"/>
      <c r="F213" s="172"/>
      <c r="G213" s="173"/>
      <c r="H213" s="174"/>
      <c r="I213" s="161"/>
      <c r="J213" s="36"/>
      <c r="K213" s="37"/>
      <c r="L213" s="37"/>
      <c r="M213" s="37"/>
      <c r="N213" s="3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20.25" customHeight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6">
        <f ca="1">IFERROR(__xludf.DUMMYFUNCTION("IMPORTRANGE(""https://docs.google.com/spreadsheets/d/1kC41EOXpGBFOW658Fs3oD8beYlym0-zO54WY-2Qnp9I/edit?usp=share_link"",""กระบี่!I214"")
+IMPORTRANGE(""https://docs.google.com/spreadsheets/d/1FbzMZY_f3MDiEuK7RpCQKrilJ_kpX0Wm7QBZ1L7EjIU/edit?usp=share_link"&amp;""",""ชุมพร!I214"")+IMPORTRANGE(""https://docs.google.com/spreadsheets/d/1v5sN-00LrXuhBxw4dkh2GrG_z4l5oAqOdJRBCsUyMaM/edit?usp=share_link"",""ตรัง!I214"")+IMPORTRANGE(""https://docs.google.com/spreadsheets/d/1T5rRTzFc79aSIvqnzkZNvwPstq829QYz_xALlO1Z0s8/edi"&amp;"t?usp=share_link"",""นครศรีธรรมราช!I214"")+IMPORTRANGE(""https://docs.google.com/spreadsheets/d/1BeghqumK0IvCmRd2QOy6_afsZq7ZtAGrSnVJy2u7WmY/edit?usp=share_link"",""นราธิวาส!I214"")+IMPORTRANGE(""https://docs.google.com/spreadsheets/d/1IwnW3-jjRf74MCLW-6P"&amp;"iFwMUffRQXZwZA7YM609NmRc/edit?usp=share_link"",""ปัตตานี!I214"")+IMPORTRANGE(""https://docs.google.com/spreadsheets/d/1vl4QWbWdFruual5o_wdo6ZSqXZ_it806oja4CctTLKs/edit?usp=share_link"",""พังงา!I214"")+IMPORTRANGE(""https://docs.google.com/spreadsheets/d/1"&amp;"b6QssHQp2FoAPSMKHOy273KNzAomaIKhtdlvuZ_zDNE/edit?usp=share_link"",""พัทลุง!I214"")+IMPORTRANGE(""https://docs.google.com/spreadsheets/d/1o7UZe4_OqlqtLDHrj01Z2YFRSZDf1DMy1n3XViHaxRc/edit?usp=share_link"",""ภูเก็ต!I214"")+IMPORTRANGE(""https://docs.google.c"&amp;"om/spreadsheets/d/1ctPm1vUzcUCPuOj9-eoHUD85PqINFqUB0TjdSWmR5-c/edit?usp=share_link"",""ยะลา!I214"")+IMPORTRANGE(""https://docs.google.com/spreadsheets/d/1YiDIE7Klmt8osgdapRqYWNr7iPGFSsiJqq46S7PYRE0/edit?usp=share_link"",""ระนอง!I214"")+IMPORTRANGE(""https"&amp;"://docs.google.com/spreadsheets/d/16o_4B-V7AWw_6E93bSpXj_XxVv1oVQctk-B6z1dNEWU/edit?usp=share_link"",""สงขลา!I214"")+IMPORTRANGE(""https://docs.google.com/spreadsheets/d/16cywr71Fj4fA5OGRHsZh30ZG2gwJhMAQv69oVBzYHv0/edit?usp=share_link"",""สตูล!I214"")+IMP"&amp;"ORTRANGE(""https://docs.google.com/spreadsheets/d/1vO9Sws6kMtrVtyvrAJptINXjK8TFBoX9xLYOVK_C8bQ/edit?usp=share_link"",""สุราษฎร์ธานี!I214"")"),10)</f>
        <v>10</v>
      </c>
      <c r="J214" s="182">
        <f ca="1">IFERROR(__xludf.DUMMYFUNCTION("IMPORTRANGE(""https://docs.google.com/spreadsheets/d/1kC41EOXpGBFOW658Fs3oD8beYlym0-zO54WY-2Qnp9I/edit?usp=share_link"",""กระบี่!J214"")
+IMPORTRANGE(""https://docs.google.com/spreadsheets/d/1FbzMZY_f3MDiEuK7RpCQKrilJ_kpX0Wm7QBZ1L7EjIU/edit?usp=share_link"&amp;""",""ชุมพร!J214"")+IMPORTRANGE(""https://docs.google.com/spreadsheets/d/1v5sN-00LrXuhBxw4dkh2GrG_z4l5oAqOdJRBCsUyMaM/edit?usp=share_link"",""ตรัง!J214"")+IMPORTRANGE(""https://docs.google.com/spreadsheets/d/1T5rRTzFc79aSIvqnzkZNvwPstq829QYz_xALlO1Z0s8/edi"&amp;"t?usp=share_link"",""นครศรีธรรมราช!J214"")+IMPORTRANGE(""https://docs.google.com/spreadsheets/d/1BeghqumK0IvCmRd2QOy6_afsZq7ZtAGrSnVJy2u7WmY/edit?usp=share_link"",""นราธิวาส!J214"")+IMPORTRANGE(""https://docs.google.com/spreadsheets/d/1IwnW3-jjRf74MCLW-6P"&amp;"iFwMUffRQXZwZA7YM609NmRc/edit?usp=share_link"",""ปัตตานี!J214"")+IMPORTRANGE(""https://docs.google.com/spreadsheets/d/1vl4QWbWdFruual5o_wdo6ZSqXZ_it806oja4CctTLKs/edit?usp=share_link"",""พังงา!J214"")+IMPORTRANGE(""https://docs.google.com/spreadsheets/d/1"&amp;"b6QssHQp2FoAPSMKHOy273KNzAomaIKhtdlvuZ_zDNE/edit?usp=share_link"",""พัทลุง!J214"")+IMPORTRANGE(""https://docs.google.com/spreadsheets/d/1o7UZe4_OqlqtLDHrj01Z2YFRSZDf1DMy1n3XViHaxRc/edit?usp=share_link"",""ภูเก็ต!J214"")+IMPORTRANGE(""https://docs.google.c"&amp;"om/spreadsheets/d/1ctPm1vUzcUCPuOj9-eoHUD85PqINFqUB0TjdSWmR5-c/edit?usp=share_link"",""ยะลา!J214"")+IMPORTRANGE(""https://docs.google.com/spreadsheets/d/1YiDIE7Klmt8osgdapRqYWNr7iPGFSsiJqq46S7PYRE0/edit?usp=share_link"",""ระนอง!J214"")+IMPORTRANGE(""https"&amp;"://docs.google.com/spreadsheets/d/16o_4B-V7AWw_6E93bSpXj_XxVv1oVQctk-B6z1dNEWU/edit?usp=share_link"",""สงขลา!J214"")+IMPORTRANGE(""https://docs.google.com/spreadsheets/d/16cywr71Fj4fA5OGRHsZh30ZG2gwJhMAQv69oVBzYHv0/edit?usp=share_link"",""สตูล!J214"")+IMP"&amp;"ORTRANGE(""https://docs.google.com/spreadsheets/d/1vO9Sws6kMtrVtyvrAJptINXjK8TFBoX9xLYOVK_C8bQ/edit?usp=share_link"",""สุราษฎร์ธานี!J214"")"),10)</f>
        <v>10</v>
      </c>
      <c r="K214" s="37">
        <f t="shared" ref="K214:K216" ca="1" si="122">IF(I214&gt;0,J214*100/I214,0)</f>
        <v>100</v>
      </c>
      <c r="L214" s="37"/>
      <c r="M214" s="37"/>
      <c r="N214" s="37"/>
      <c r="O214" s="37"/>
      <c r="P214" s="3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20.25" customHeight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6">
        <f ca="1">IFERROR(__xludf.DUMMYFUNCTION("IMPORTRANGE(""https://docs.google.com/spreadsheets/d/1kC41EOXpGBFOW658Fs3oD8beYlym0-zO54WY-2Qnp9I/edit?usp=share_link"",""กระบี่!I215"")
+IMPORTRANGE(""https://docs.google.com/spreadsheets/d/1FbzMZY_f3MDiEuK7RpCQKrilJ_kpX0Wm7QBZ1L7EjIU/edit?usp=share_link"&amp;""",""ชุมพร!I215"")+IMPORTRANGE(""https://docs.google.com/spreadsheets/d/1v5sN-00LrXuhBxw4dkh2GrG_z4l5oAqOdJRBCsUyMaM/edit?usp=share_link"",""ตรัง!I215"")+IMPORTRANGE(""https://docs.google.com/spreadsheets/d/1T5rRTzFc79aSIvqnzkZNvwPstq829QYz_xALlO1Z0s8/edi"&amp;"t?usp=share_link"",""นครศรีธรรมราช!I215"")+IMPORTRANGE(""https://docs.google.com/spreadsheets/d/1BeghqumK0IvCmRd2QOy6_afsZq7ZtAGrSnVJy2u7WmY/edit?usp=share_link"",""นราธิวาส!I215"")+IMPORTRANGE(""https://docs.google.com/spreadsheets/d/1IwnW3-jjRf74MCLW-6P"&amp;"iFwMUffRQXZwZA7YM609NmRc/edit?usp=share_link"",""ปัตตานี!I215"")+IMPORTRANGE(""https://docs.google.com/spreadsheets/d/1vl4QWbWdFruual5o_wdo6ZSqXZ_it806oja4CctTLKs/edit?usp=share_link"",""พังงา!I215"")+IMPORTRANGE(""https://docs.google.com/spreadsheets/d/1"&amp;"b6QssHQp2FoAPSMKHOy273KNzAomaIKhtdlvuZ_zDNE/edit?usp=share_link"",""พัทลุง!I215"")+IMPORTRANGE(""https://docs.google.com/spreadsheets/d/1o7UZe4_OqlqtLDHrj01Z2YFRSZDf1DMy1n3XViHaxRc/edit?usp=share_link"",""ภูเก็ต!I215"")+IMPORTRANGE(""https://docs.google.c"&amp;"om/spreadsheets/d/1ctPm1vUzcUCPuOj9-eoHUD85PqINFqUB0TjdSWmR5-c/edit?usp=share_link"",""ยะลา!I215"")+IMPORTRANGE(""https://docs.google.com/spreadsheets/d/1YiDIE7Klmt8osgdapRqYWNr7iPGFSsiJqq46S7PYRE0/edit?usp=share_link"",""ระนอง!I215"")+IMPORTRANGE(""https"&amp;"://docs.google.com/spreadsheets/d/16o_4B-V7AWw_6E93bSpXj_XxVv1oVQctk-B6z1dNEWU/edit?usp=share_link"",""สงขลา!I215"")+IMPORTRANGE(""https://docs.google.com/spreadsheets/d/16cywr71Fj4fA5OGRHsZh30ZG2gwJhMAQv69oVBzYHv0/edit?usp=share_link"",""สตูล!I215"")+IMP"&amp;"ORTRANGE(""https://docs.google.com/spreadsheets/d/1vO9Sws6kMtrVtyvrAJptINXjK8TFBoX9xLYOVK_C8bQ/edit?usp=share_link"",""สุราษฎร์ธานี!I215"")"),10)</f>
        <v>10</v>
      </c>
      <c r="J215" s="182">
        <f ca="1">IFERROR(__xludf.DUMMYFUNCTION("IMPORTRANGE(""https://docs.google.com/spreadsheets/d/1kC41EOXpGBFOW658Fs3oD8beYlym0-zO54WY-2Qnp9I/edit?usp=share_link"",""กระบี่!J215"")
+IMPORTRANGE(""https://docs.google.com/spreadsheets/d/1FbzMZY_f3MDiEuK7RpCQKrilJ_kpX0Wm7QBZ1L7EjIU/edit?usp=share_link"&amp;""",""ชุมพร!J215"")+IMPORTRANGE(""https://docs.google.com/spreadsheets/d/1v5sN-00LrXuhBxw4dkh2GrG_z4l5oAqOdJRBCsUyMaM/edit?usp=share_link"",""ตรัง!J215"")+IMPORTRANGE(""https://docs.google.com/spreadsheets/d/1T5rRTzFc79aSIvqnzkZNvwPstq829QYz_xALlO1Z0s8/edi"&amp;"t?usp=share_link"",""นครศรีธรรมราช!J215"")+IMPORTRANGE(""https://docs.google.com/spreadsheets/d/1BeghqumK0IvCmRd2QOy6_afsZq7ZtAGrSnVJy2u7WmY/edit?usp=share_link"",""นราธิวาส!J215"")+IMPORTRANGE(""https://docs.google.com/spreadsheets/d/1IwnW3-jjRf74MCLW-6P"&amp;"iFwMUffRQXZwZA7YM609NmRc/edit?usp=share_link"",""ปัตตานี!J215"")+IMPORTRANGE(""https://docs.google.com/spreadsheets/d/1vl4QWbWdFruual5o_wdo6ZSqXZ_it806oja4CctTLKs/edit?usp=share_link"",""พังงา!J215"")+IMPORTRANGE(""https://docs.google.com/spreadsheets/d/1"&amp;"b6QssHQp2FoAPSMKHOy273KNzAomaIKhtdlvuZ_zDNE/edit?usp=share_link"",""พัทลุง!J215"")+IMPORTRANGE(""https://docs.google.com/spreadsheets/d/1o7UZe4_OqlqtLDHrj01Z2YFRSZDf1DMy1n3XViHaxRc/edit?usp=share_link"",""ภูเก็ต!J215"")+IMPORTRANGE(""https://docs.google.c"&amp;"om/spreadsheets/d/1ctPm1vUzcUCPuOj9-eoHUD85PqINFqUB0TjdSWmR5-c/edit?usp=share_link"",""ยะลา!J215"")+IMPORTRANGE(""https://docs.google.com/spreadsheets/d/1YiDIE7Klmt8osgdapRqYWNr7iPGFSsiJqq46S7PYRE0/edit?usp=share_link"",""ระนอง!J215"")+IMPORTRANGE(""https"&amp;"://docs.google.com/spreadsheets/d/16o_4B-V7AWw_6E93bSpXj_XxVv1oVQctk-B6z1dNEWU/edit?usp=share_link"",""สงขลา!J215"")+IMPORTRANGE(""https://docs.google.com/spreadsheets/d/16cywr71Fj4fA5OGRHsZh30ZG2gwJhMAQv69oVBzYHv0/edit?usp=share_link"",""สตูล!J215"")+IMP"&amp;"ORTRANGE(""https://docs.google.com/spreadsheets/d/1vO9Sws6kMtrVtyvrAJptINXjK8TFBoX9xLYOVK_C8bQ/edit?usp=share_link"",""สุราษฎร์ธานี!J215"")"),10)</f>
        <v>10</v>
      </c>
      <c r="K215" s="37">
        <f t="shared" ca="1" si="122"/>
        <v>100</v>
      </c>
      <c r="L215" s="37"/>
      <c r="M215" s="37"/>
      <c r="N215" s="37"/>
      <c r="O215" s="37"/>
      <c r="P215" s="3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20.25" customHeight="1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23">I224</f>
        <v>239000</v>
      </c>
      <c r="J216" s="271">
        <f t="shared" ca="1" si="123"/>
        <v>239000</v>
      </c>
      <c r="K216" s="272">
        <f t="shared" ca="1" si="122"/>
        <v>100</v>
      </c>
      <c r="L216" s="261"/>
      <c r="M216" s="261"/>
      <c r="N216" s="261"/>
      <c r="O216" s="261"/>
      <c r="P216" s="261"/>
    </row>
    <row r="217" spans="1:26" ht="20.25" customHeight="1">
      <c r="A217" s="146"/>
      <c r="B217" s="147"/>
      <c r="C217" s="148" t="s">
        <v>16</v>
      </c>
      <c r="D217" s="273" t="s">
        <v>17</v>
      </c>
      <c r="E217" s="147"/>
      <c r="F217" s="147"/>
      <c r="G217" s="150"/>
      <c r="H217" s="274" t="s">
        <v>12</v>
      </c>
      <c r="I217" s="278"/>
      <c r="J217" s="278"/>
      <c r="K217" s="279"/>
      <c r="L217" s="154">
        <f ca="1">L218+L219+L220</f>
        <v>153600</v>
      </c>
      <c r="M217" s="154"/>
      <c r="N217" s="154">
        <f ca="1">N218+N219+N220</f>
        <v>153600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20.25" customHeight="1">
      <c r="A218" s="158"/>
      <c r="B218" s="280"/>
      <c r="C218" s="32"/>
      <c r="D218" s="211" t="s">
        <v>97</v>
      </c>
      <c r="E218" s="32"/>
      <c r="F218" s="32"/>
      <c r="G218" s="34"/>
      <c r="H218" s="160" t="s">
        <v>12</v>
      </c>
      <c r="I218" s="161"/>
      <c r="J218" s="161"/>
      <c r="K218" s="162"/>
      <c r="L218" s="37">
        <f ca="1">IFERROR(__xludf.DUMMYFUNCTION("IMPORTRANGE(""https://docs.google.com/spreadsheets/d/1kC41EOXpGBFOW658Fs3oD8beYlym0-zO54WY-2Qnp9I/edit?usp=share_link"",""กระบี่!L218"")
+IMPORTRANGE(""https://docs.google.com/spreadsheets/d/1FbzMZY_f3MDiEuK7RpCQKrilJ_kpX0Wm7QBZ1L7EjIU/edit?usp=share_link"&amp;""",""ชุมพร!L218"")+IMPORTRANGE(""https://docs.google.com/spreadsheets/d/1v5sN-00LrXuhBxw4dkh2GrG_z4l5oAqOdJRBCsUyMaM/edit?usp=share_link"",""ตรัง!L218"")+IMPORTRANGE(""https://docs.google.com/spreadsheets/d/1T5rRTzFc79aSIvqnzkZNvwPstq829QYz_xALlO1Z0s8/edi"&amp;"t?usp=share_link"",""นครศรีธรรมราช!L218"")+IMPORTRANGE(""https://docs.google.com/spreadsheets/d/1BeghqumK0IvCmRd2QOy6_afsZq7ZtAGrSnVJy2u7WmY/edit?usp=share_link"",""นราธิวาส!L218"")+IMPORTRANGE(""https://docs.google.com/spreadsheets/d/1IwnW3-jjRf74MCLW-6P"&amp;"iFwMUffRQXZwZA7YM609NmRc/edit?usp=share_link"",""ปัตตานี!L218"")+IMPORTRANGE(""https://docs.google.com/spreadsheets/d/1vl4QWbWdFruual5o_wdo6ZSqXZ_it806oja4CctTLKs/edit?usp=share_link"",""พังงา!L218"")+IMPORTRANGE(""https://docs.google.com/spreadsheets/d/1"&amp;"b6QssHQp2FoAPSMKHOy273KNzAomaIKhtdlvuZ_zDNE/edit?usp=share_link"",""พัทลุง!L218"")+IMPORTRANGE(""https://docs.google.com/spreadsheets/d/1o7UZe4_OqlqtLDHrj01Z2YFRSZDf1DMy1n3XViHaxRc/edit?usp=share_link"",""ภูเก็ต!L218"")+IMPORTRANGE(""https://docs.google.c"&amp;"om/spreadsheets/d/1ctPm1vUzcUCPuOj9-eoHUD85PqINFqUB0TjdSWmR5-c/edit?usp=share_link"",""ยะลา!L218"")+IMPORTRANGE(""https://docs.google.com/spreadsheets/d/1YiDIE7Klmt8osgdapRqYWNr7iPGFSsiJqq46S7PYRE0/edit?usp=share_link"",""ระนอง!L218"")+IMPORTRANGE(""https"&amp;"://docs.google.com/spreadsheets/d/16o_4B-V7AWw_6E93bSpXj_XxVv1oVQctk-B6z1dNEWU/edit?usp=share_link"",""สงขลา!L218"")+IMPORTRANGE(""https://docs.google.com/spreadsheets/d/16cywr71Fj4fA5OGRHsZh30ZG2gwJhMAQv69oVBzYHv0/edit?usp=share_link"",""สตูล!L218"")+IMP"&amp;"ORTRANGE(""https://docs.google.com/spreadsheets/d/1vO9Sws6kMtrVtyvrAJptINXjK8TFBoX9xLYOVK_C8bQ/edit?usp=share_link"",""สุราษฎร์ธานี!L218"")"),43000)</f>
        <v>43000</v>
      </c>
      <c r="M218" s="37"/>
      <c r="N218" s="282">
        <f ca="1">IFERROR(__xludf.DUMMYFUNCTION("IMPORTRANGE(""https://docs.google.com/spreadsheets/d/1kC41EOXpGBFOW658Fs3oD8beYlym0-zO54WY-2Qnp9I/edit?usp=share_link"",""กระบี่!N218"")
+IMPORTRANGE(""https://docs.google.com/spreadsheets/d/1FbzMZY_f3MDiEuK7RpCQKrilJ_kpX0Wm7QBZ1L7EjIU/edit?usp=share_link"&amp;""",""ชุมพร!N218"")+IMPORTRANGE(""https://docs.google.com/spreadsheets/d/1v5sN-00LrXuhBxw4dkh2GrG_z4l5oAqOdJRBCsUyMaM/edit?usp=share_link"",""ตรัง!N218"")+IMPORTRANGE(""https://docs.google.com/spreadsheets/d/1T5rRTzFc79aSIvqnzkZNvwPstq829QYz_xALlO1Z0s8/edi"&amp;"t?usp=share_link"",""นครศรีธรรมราช!N218"")+IMPORTRANGE(""https://docs.google.com/spreadsheets/d/1BeghqumK0IvCmRd2QOy6_afsZq7ZtAGrSnVJy2u7WmY/edit?usp=share_link"",""นราธิวาส!N218"")+IMPORTRANGE(""https://docs.google.com/spreadsheets/d/1IwnW3-jjRf74MCLW-6P"&amp;"iFwMUffRQXZwZA7YM609NmRc/edit?usp=share_link"",""ปัตตานี!N218"")+IMPORTRANGE(""https://docs.google.com/spreadsheets/d/1vl4QWbWdFruual5o_wdo6ZSqXZ_it806oja4CctTLKs/edit?usp=share_link"",""พังงา!N218"")+IMPORTRANGE(""https://docs.google.com/spreadsheets/d/1"&amp;"b6QssHQp2FoAPSMKHOy273KNzAomaIKhtdlvuZ_zDNE/edit?usp=share_link"",""พัทลุง!N218"")+IMPORTRANGE(""https://docs.google.com/spreadsheets/d/1o7UZe4_OqlqtLDHrj01Z2YFRSZDf1DMy1n3XViHaxRc/edit?usp=share_link"",""ภูเก็ต!N218"")+IMPORTRANGE(""https://docs.google.c"&amp;"om/spreadsheets/d/1ctPm1vUzcUCPuOj9-eoHUD85PqINFqUB0TjdSWmR5-c/edit?usp=share_link"",""ยะลา!N218"")+IMPORTRANGE(""https://docs.google.com/spreadsheets/d/1YiDIE7Klmt8osgdapRqYWNr7iPGFSsiJqq46S7PYRE0/edit?usp=share_link"",""ระนอง!N218"")+IMPORTRANGE(""https"&amp;"://docs.google.com/spreadsheets/d/16o_4B-V7AWw_6E93bSpXj_XxVv1oVQctk-B6z1dNEWU/edit?usp=share_link"",""สงขลา!N218"")+IMPORTRANGE(""https://docs.google.com/spreadsheets/d/16cywr71Fj4fA5OGRHsZh30ZG2gwJhMAQv69oVBzYHv0/edit?usp=share_link"",""สตูล!N218"")+IMP"&amp;"ORTRANGE(""https://docs.google.com/spreadsheets/d/1vO9Sws6kMtrVtyvrAJptINXjK8TFBoX9xLYOVK_C8bQ/edit?usp=share_link"",""สุราษฎร์ธานี!N218"")"),56500)</f>
        <v>56500</v>
      </c>
      <c r="O218" s="37"/>
      <c r="P218" s="3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20.25" customHeight="1">
      <c r="A219" s="283"/>
      <c r="B219" s="280"/>
      <c r="C219" s="291"/>
      <c r="D219" s="215" t="s">
        <v>110</v>
      </c>
      <c r="E219" s="32"/>
      <c r="F219" s="32"/>
      <c r="G219" s="34"/>
      <c r="H219" s="160" t="s">
        <v>12</v>
      </c>
      <c r="I219" s="36"/>
      <c r="J219" s="36"/>
      <c r="K219" s="37"/>
      <c r="L219" s="37">
        <f ca="1">IFERROR(__xludf.DUMMYFUNCTION("IMPORTRANGE(""https://docs.google.com/spreadsheets/d/1kC41EOXpGBFOW658Fs3oD8beYlym0-zO54WY-2Qnp9I/edit?usp=share_link"",""กระบี่!L219"")
+IMPORTRANGE(""https://docs.google.com/spreadsheets/d/1FbzMZY_f3MDiEuK7RpCQKrilJ_kpX0Wm7QBZ1L7EjIU/edit?usp=share_link"&amp;""",""ชุมพร!L219"")+IMPORTRANGE(""https://docs.google.com/spreadsheets/d/1v5sN-00LrXuhBxw4dkh2GrG_z4l5oAqOdJRBCsUyMaM/edit?usp=share_link"",""ตรัง!L219"")+IMPORTRANGE(""https://docs.google.com/spreadsheets/d/1T5rRTzFc79aSIvqnzkZNvwPstq829QYz_xALlO1Z0s8/edi"&amp;"t?usp=share_link"",""นครศรีธรรมราช!L219"")+IMPORTRANGE(""https://docs.google.com/spreadsheets/d/1BeghqumK0IvCmRd2QOy6_afsZq7ZtAGrSnVJy2u7WmY/edit?usp=share_link"",""นราธิวาส!L219"")+IMPORTRANGE(""https://docs.google.com/spreadsheets/d/1IwnW3-jjRf74MCLW-6P"&amp;"iFwMUffRQXZwZA7YM609NmRc/edit?usp=share_link"",""ปัตตานี!L219"")+IMPORTRANGE(""https://docs.google.com/spreadsheets/d/1vl4QWbWdFruual5o_wdo6ZSqXZ_it806oja4CctTLKs/edit?usp=share_link"",""พังงา!L219"")+IMPORTRANGE(""https://docs.google.com/spreadsheets/d/1"&amp;"b6QssHQp2FoAPSMKHOy273KNzAomaIKhtdlvuZ_zDNE/edit?usp=share_link"",""พัทลุง!L219"")+IMPORTRANGE(""https://docs.google.com/spreadsheets/d/1o7UZe4_OqlqtLDHrj01Z2YFRSZDf1DMy1n3XViHaxRc/edit?usp=share_link"",""ภูเก็ต!L219"")+IMPORTRANGE(""https://docs.google.c"&amp;"om/spreadsheets/d/1ctPm1vUzcUCPuOj9-eoHUD85PqINFqUB0TjdSWmR5-c/edit?usp=share_link"",""ยะลา!L219"")+IMPORTRANGE(""https://docs.google.com/spreadsheets/d/1YiDIE7Klmt8osgdapRqYWNr7iPGFSsiJqq46S7PYRE0/edit?usp=share_link"",""ระนอง!L219"")+IMPORTRANGE(""https"&amp;"://docs.google.com/spreadsheets/d/16o_4B-V7AWw_6E93bSpXj_XxVv1oVQctk-B6z1dNEWU/edit?usp=share_link"",""สงขลา!L219"")+IMPORTRANGE(""https://docs.google.com/spreadsheets/d/16cywr71Fj4fA5OGRHsZh30ZG2gwJhMAQv69oVBzYHv0/edit?usp=share_link"",""สตูล!L219"")+IMP"&amp;"ORTRANGE(""https://docs.google.com/spreadsheets/d/1vO9Sws6kMtrVtyvrAJptINXjK8TFBoX9xLYOVK_C8bQ/edit?usp=share_link"",""สุราษฎร์ธานี!L219"")"),70600)</f>
        <v>70600</v>
      </c>
      <c r="M219" s="37"/>
      <c r="N219" s="282">
        <f ca="1">IFERROR(__xludf.DUMMYFUNCTION("IMPORTRANGE(""https://docs.google.com/spreadsheets/d/1kC41EOXpGBFOW658Fs3oD8beYlym0-zO54WY-2Qnp9I/edit?usp=share_link"",""กระบี่!N219"")
+IMPORTRANGE(""https://docs.google.com/spreadsheets/d/1FbzMZY_f3MDiEuK7RpCQKrilJ_kpX0Wm7QBZ1L7EjIU/edit?usp=share_link"&amp;""",""ชุมพร!N219"")+IMPORTRANGE(""https://docs.google.com/spreadsheets/d/1v5sN-00LrXuhBxw4dkh2GrG_z4l5oAqOdJRBCsUyMaM/edit?usp=share_link"",""ตรัง!N219"")+IMPORTRANGE(""https://docs.google.com/spreadsheets/d/1T5rRTzFc79aSIvqnzkZNvwPstq829QYz_xALlO1Z0s8/edi"&amp;"t?usp=share_link"",""นครศรีธรรมราช!N219"")+IMPORTRANGE(""https://docs.google.com/spreadsheets/d/1BeghqumK0IvCmRd2QOy6_afsZq7ZtAGrSnVJy2u7WmY/edit?usp=share_link"",""นราธิวาส!N219"")+IMPORTRANGE(""https://docs.google.com/spreadsheets/d/1IwnW3-jjRf74MCLW-6P"&amp;"iFwMUffRQXZwZA7YM609NmRc/edit?usp=share_link"",""ปัตตานี!N219"")+IMPORTRANGE(""https://docs.google.com/spreadsheets/d/1vl4QWbWdFruual5o_wdo6ZSqXZ_it806oja4CctTLKs/edit?usp=share_link"",""พังงา!N219"")+IMPORTRANGE(""https://docs.google.com/spreadsheets/d/1"&amp;"b6QssHQp2FoAPSMKHOy273KNzAomaIKhtdlvuZ_zDNE/edit?usp=share_link"",""พัทลุง!N219"")+IMPORTRANGE(""https://docs.google.com/spreadsheets/d/1o7UZe4_OqlqtLDHrj01Z2YFRSZDf1DMy1n3XViHaxRc/edit?usp=share_link"",""ภูเก็ต!N219"")+IMPORTRANGE(""https://docs.google.c"&amp;"om/spreadsheets/d/1ctPm1vUzcUCPuOj9-eoHUD85PqINFqUB0TjdSWmR5-c/edit?usp=share_link"",""ยะลา!N219"")+IMPORTRANGE(""https://docs.google.com/spreadsheets/d/1YiDIE7Klmt8osgdapRqYWNr7iPGFSsiJqq46S7PYRE0/edit?usp=share_link"",""ระนอง!N219"")+IMPORTRANGE(""https"&amp;"://docs.google.com/spreadsheets/d/16o_4B-V7AWw_6E93bSpXj_XxVv1oVQctk-B6z1dNEWU/edit?usp=share_link"",""สงขลา!N219"")+IMPORTRANGE(""https://docs.google.com/spreadsheets/d/16cywr71Fj4fA5OGRHsZh30ZG2gwJhMAQv69oVBzYHv0/edit?usp=share_link"",""สตูล!N219"")+IMP"&amp;"ORTRANGE(""https://docs.google.com/spreadsheets/d/1vO9Sws6kMtrVtyvrAJptINXjK8TFBoX9xLYOVK_C8bQ/edit?usp=share_link"",""สุราษฎร์ธานี!N219"")"),57100)</f>
        <v>57100</v>
      </c>
      <c r="O219" s="37"/>
      <c r="P219" s="37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20.25" customHeight="1">
      <c r="A220" s="283"/>
      <c r="B220" s="280"/>
      <c r="C220" s="291"/>
      <c r="D220" s="215" t="s">
        <v>98</v>
      </c>
      <c r="E220" s="32"/>
      <c r="F220" s="32"/>
      <c r="G220" s="34"/>
      <c r="H220" s="160" t="s">
        <v>12</v>
      </c>
      <c r="I220" s="36"/>
      <c r="J220" s="36"/>
      <c r="K220" s="37"/>
      <c r="L220" s="37">
        <f ca="1">IFERROR(__xludf.DUMMYFUNCTION("IMPORTRANGE(""https://docs.google.com/spreadsheets/d/1kC41EOXpGBFOW658Fs3oD8beYlym0-zO54WY-2Qnp9I/edit?usp=share_link"",""กระบี่!L220"")
+IMPORTRANGE(""https://docs.google.com/spreadsheets/d/1FbzMZY_f3MDiEuK7RpCQKrilJ_kpX0Wm7QBZ1L7EjIU/edit?usp=share_link"&amp;""",""ชุมพร!L220"")+IMPORTRANGE(""https://docs.google.com/spreadsheets/d/1v5sN-00LrXuhBxw4dkh2GrG_z4l5oAqOdJRBCsUyMaM/edit?usp=share_link"",""ตรัง!L220"")+IMPORTRANGE(""https://docs.google.com/spreadsheets/d/1T5rRTzFc79aSIvqnzkZNvwPstq829QYz_xALlO1Z0s8/edi"&amp;"t?usp=share_link"",""นครศรีธรรมราช!L220"")+IMPORTRANGE(""https://docs.google.com/spreadsheets/d/1BeghqumK0IvCmRd2QOy6_afsZq7ZtAGrSnVJy2u7WmY/edit?usp=share_link"",""นราธิวาส!L220"")+IMPORTRANGE(""https://docs.google.com/spreadsheets/d/1IwnW3-jjRf74MCLW-6P"&amp;"iFwMUffRQXZwZA7YM609NmRc/edit?usp=share_link"",""ปัตตานี!L220"")+IMPORTRANGE(""https://docs.google.com/spreadsheets/d/1vl4QWbWdFruual5o_wdo6ZSqXZ_it806oja4CctTLKs/edit?usp=share_link"",""พังงา!L220"")+IMPORTRANGE(""https://docs.google.com/spreadsheets/d/1"&amp;"b6QssHQp2FoAPSMKHOy273KNzAomaIKhtdlvuZ_zDNE/edit?usp=share_link"",""พัทลุง!L220"")+IMPORTRANGE(""https://docs.google.com/spreadsheets/d/1o7UZe4_OqlqtLDHrj01Z2YFRSZDf1DMy1n3XViHaxRc/edit?usp=share_link"",""ภูเก็ต!L220"")+IMPORTRANGE(""https://docs.google.c"&amp;"om/spreadsheets/d/1ctPm1vUzcUCPuOj9-eoHUD85PqINFqUB0TjdSWmR5-c/edit?usp=share_link"",""ยะลา!L220"")+IMPORTRANGE(""https://docs.google.com/spreadsheets/d/1YiDIE7Klmt8osgdapRqYWNr7iPGFSsiJqq46S7PYRE0/edit?usp=share_link"",""ระนอง!L220"")+IMPORTRANGE(""https"&amp;"://docs.google.com/spreadsheets/d/16o_4B-V7AWw_6E93bSpXj_XxVv1oVQctk-B6z1dNEWU/edit?usp=share_link"",""สงขลา!L220"")+IMPORTRANGE(""https://docs.google.com/spreadsheets/d/16cywr71Fj4fA5OGRHsZh30ZG2gwJhMAQv69oVBzYHv0/edit?usp=share_link"",""สตูล!L220"")+IMP"&amp;"ORTRANGE(""https://docs.google.com/spreadsheets/d/1vO9Sws6kMtrVtyvrAJptINXjK8TFBoX9xLYOVK_C8bQ/edit?usp=share_link"",""สุราษฎร์ธานี!L220"")"),40000)</f>
        <v>40000</v>
      </c>
      <c r="M220" s="37"/>
      <c r="N220" s="282">
        <f ca="1">IFERROR(__xludf.DUMMYFUNCTION("IMPORTRANGE(""https://docs.google.com/spreadsheets/d/1kC41EOXpGBFOW658Fs3oD8beYlym0-zO54WY-2Qnp9I/edit?usp=share_link"",""กระบี่!N220"")
+IMPORTRANGE(""https://docs.google.com/spreadsheets/d/1FbzMZY_f3MDiEuK7RpCQKrilJ_kpX0Wm7QBZ1L7EjIU/edit?usp=share_link"&amp;""",""ชุมพร!N220"")+IMPORTRANGE(""https://docs.google.com/spreadsheets/d/1v5sN-00LrXuhBxw4dkh2GrG_z4l5oAqOdJRBCsUyMaM/edit?usp=share_link"",""ตรัง!N220"")+IMPORTRANGE(""https://docs.google.com/spreadsheets/d/1T5rRTzFc79aSIvqnzkZNvwPstq829QYz_xALlO1Z0s8/edi"&amp;"t?usp=share_link"",""นครศรีธรรมราช!N220"")+IMPORTRANGE(""https://docs.google.com/spreadsheets/d/1BeghqumK0IvCmRd2QOy6_afsZq7ZtAGrSnVJy2u7WmY/edit?usp=share_link"",""นราธิวาส!N220"")+IMPORTRANGE(""https://docs.google.com/spreadsheets/d/1IwnW3-jjRf74MCLW-6P"&amp;"iFwMUffRQXZwZA7YM609NmRc/edit?usp=share_link"",""ปัตตานี!N220"")+IMPORTRANGE(""https://docs.google.com/spreadsheets/d/1vl4QWbWdFruual5o_wdo6ZSqXZ_it806oja4CctTLKs/edit?usp=share_link"",""พังงา!N220"")+IMPORTRANGE(""https://docs.google.com/spreadsheets/d/1"&amp;"b6QssHQp2FoAPSMKHOy273KNzAomaIKhtdlvuZ_zDNE/edit?usp=share_link"",""พัทลุง!N220"")+IMPORTRANGE(""https://docs.google.com/spreadsheets/d/1o7UZe4_OqlqtLDHrj01Z2YFRSZDf1DMy1n3XViHaxRc/edit?usp=share_link"",""ภูเก็ต!N220"")+IMPORTRANGE(""https://docs.google.c"&amp;"om/spreadsheets/d/1ctPm1vUzcUCPuOj9-eoHUD85PqINFqUB0TjdSWmR5-c/edit?usp=share_link"",""ยะลา!N220"")+IMPORTRANGE(""https://docs.google.com/spreadsheets/d/1YiDIE7Klmt8osgdapRqYWNr7iPGFSsiJqq46S7PYRE0/edit?usp=share_link"",""ระนอง!N220"")+IMPORTRANGE(""https"&amp;"://docs.google.com/spreadsheets/d/16o_4B-V7AWw_6E93bSpXj_XxVv1oVQctk-B6z1dNEWU/edit?usp=share_link"",""สงขลา!N220"")+IMPORTRANGE(""https://docs.google.com/spreadsheets/d/16cywr71Fj4fA5OGRHsZh30ZG2gwJhMAQv69oVBzYHv0/edit?usp=share_link"",""สตูล!N220"")+IMP"&amp;"ORTRANGE(""https://docs.google.com/spreadsheets/d/1vO9Sws6kMtrVtyvrAJptINXjK8TFBoX9xLYOVK_C8bQ/edit?usp=share_link"",""สุราษฎร์ธานี!N220"")"),40000)</f>
        <v>40000</v>
      </c>
      <c r="O220" s="37"/>
      <c r="P220" s="37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20.25" customHeight="1">
      <c r="A221" s="169"/>
      <c r="B221" s="170"/>
      <c r="C221" s="291" t="s">
        <v>16</v>
      </c>
      <c r="D221" s="171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20.25" customHeight="1">
      <c r="A222" s="169"/>
      <c r="B222" s="170"/>
      <c r="C222" s="170"/>
      <c r="D222" s="211" t="s">
        <v>111</v>
      </c>
      <c r="E222" s="177"/>
      <c r="F222" s="177"/>
      <c r="G222" s="178"/>
      <c r="H222" s="174"/>
      <c r="I222" s="36"/>
      <c r="J222" s="36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20.25" customHeight="1">
      <c r="A223" s="169"/>
      <c r="B223" s="170"/>
      <c r="C223" s="170"/>
      <c r="D223" s="170"/>
      <c r="E223" s="175" t="s">
        <v>112</v>
      </c>
      <c r="F223" s="177"/>
      <c r="G223" s="178"/>
      <c r="H223" s="181" t="s">
        <v>109</v>
      </c>
      <c r="I223" s="36">
        <f ca="1">IFERROR(__xludf.DUMMYFUNCTION("IMPORTRANGE(""https://docs.google.com/spreadsheets/d/1kC41EOXpGBFOW658Fs3oD8beYlym0-zO54WY-2Qnp9I/edit?usp=share_link"",""กระบี่!I223"")
+IMPORTRANGE(""https://docs.google.com/spreadsheets/d/1FbzMZY_f3MDiEuK7RpCQKrilJ_kpX0Wm7QBZ1L7EjIU/edit?usp=share_link"&amp;""",""ชุมพร!I223"")+IMPORTRANGE(""https://docs.google.com/spreadsheets/d/1v5sN-00LrXuhBxw4dkh2GrG_z4l5oAqOdJRBCsUyMaM/edit?usp=share_link"",""ตรัง!I223"")+IMPORTRANGE(""https://docs.google.com/spreadsheets/d/1T5rRTzFc79aSIvqnzkZNvwPstq829QYz_xALlO1Z0s8/edi"&amp;"t?usp=share_link"",""นครศรีธรรมราช!I223"")+IMPORTRANGE(""https://docs.google.com/spreadsheets/d/1BeghqumK0IvCmRd2QOy6_afsZq7ZtAGrSnVJy2u7WmY/edit?usp=share_link"",""นราธิวาส!I223"")+IMPORTRANGE(""https://docs.google.com/spreadsheets/d/1IwnW3-jjRf74MCLW-6P"&amp;"iFwMUffRQXZwZA7YM609NmRc/edit?usp=share_link"",""ปัตตานี!I223"")+IMPORTRANGE(""https://docs.google.com/spreadsheets/d/1vl4QWbWdFruual5o_wdo6ZSqXZ_it806oja4CctTLKs/edit?usp=share_link"",""พังงา!I223"")+IMPORTRANGE(""https://docs.google.com/spreadsheets/d/1"&amp;"b6QssHQp2FoAPSMKHOy273KNzAomaIKhtdlvuZ_zDNE/edit?usp=share_link"",""พัทลุง!I223"")+IMPORTRANGE(""https://docs.google.com/spreadsheets/d/1o7UZe4_OqlqtLDHrj01Z2YFRSZDf1DMy1n3XViHaxRc/edit?usp=share_link"",""ภูเก็ต!I223"")+IMPORTRANGE(""https://docs.google.c"&amp;"om/spreadsheets/d/1ctPm1vUzcUCPuOj9-eoHUD85PqINFqUB0TjdSWmR5-c/edit?usp=share_link"",""ยะลา!I223"")+IMPORTRANGE(""https://docs.google.com/spreadsheets/d/1YiDIE7Klmt8osgdapRqYWNr7iPGFSsiJqq46S7PYRE0/edit?usp=share_link"",""ระนอง!I223"")+IMPORTRANGE(""https"&amp;"://docs.google.com/spreadsheets/d/16o_4B-V7AWw_6E93bSpXj_XxVv1oVQctk-B6z1dNEWU/edit?usp=share_link"",""สงขลา!I223"")+IMPORTRANGE(""https://docs.google.com/spreadsheets/d/16cywr71Fj4fA5OGRHsZh30ZG2gwJhMAQv69oVBzYHv0/edit?usp=share_link"",""สตูล!I223"")+IMP"&amp;"ORTRANGE(""https://docs.google.com/spreadsheets/d/1vO9Sws6kMtrVtyvrAJptINXjK8TFBoX9xLYOVK_C8bQ/edit?usp=share_link"",""สุราษฎร์ธานี!I223"")"),239000)</f>
        <v>239000</v>
      </c>
      <c r="J223" s="182">
        <f ca="1">IFERROR(__xludf.DUMMYFUNCTION("IMPORTRANGE(""https://docs.google.com/spreadsheets/d/1kC41EOXpGBFOW658Fs3oD8beYlym0-zO54WY-2Qnp9I/edit?usp=share_link"",""กระบี่!J223"")
+IMPORTRANGE(""https://docs.google.com/spreadsheets/d/1FbzMZY_f3MDiEuK7RpCQKrilJ_kpX0Wm7QBZ1L7EjIU/edit?usp=share_link"&amp;""",""ชุมพร!J223"")+IMPORTRANGE(""https://docs.google.com/spreadsheets/d/1v5sN-00LrXuhBxw4dkh2GrG_z4l5oAqOdJRBCsUyMaM/edit?usp=share_link"",""ตรัง!J223"")+IMPORTRANGE(""https://docs.google.com/spreadsheets/d/1T5rRTzFc79aSIvqnzkZNvwPstq829QYz_xALlO1Z0s8/edi"&amp;"t?usp=share_link"",""นครศรีธรรมราช!J223"")+IMPORTRANGE(""https://docs.google.com/spreadsheets/d/1BeghqumK0IvCmRd2QOy6_afsZq7ZtAGrSnVJy2u7WmY/edit?usp=share_link"",""นราธิวาส!J223"")+IMPORTRANGE(""https://docs.google.com/spreadsheets/d/1IwnW3-jjRf74MCLW-6P"&amp;"iFwMUffRQXZwZA7YM609NmRc/edit?usp=share_link"",""ปัตตานี!J223"")+IMPORTRANGE(""https://docs.google.com/spreadsheets/d/1vl4QWbWdFruual5o_wdo6ZSqXZ_it806oja4CctTLKs/edit?usp=share_link"",""พังงา!J223"")+IMPORTRANGE(""https://docs.google.com/spreadsheets/d/1"&amp;"b6QssHQp2FoAPSMKHOy273KNzAomaIKhtdlvuZ_zDNE/edit?usp=share_link"",""พัทลุง!J223"")+IMPORTRANGE(""https://docs.google.com/spreadsheets/d/1o7UZe4_OqlqtLDHrj01Z2YFRSZDf1DMy1n3XViHaxRc/edit?usp=share_link"",""ภูเก็ต!J223"")+IMPORTRANGE(""https://docs.google.c"&amp;"om/spreadsheets/d/1ctPm1vUzcUCPuOj9-eoHUD85PqINFqUB0TjdSWmR5-c/edit?usp=share_link"",""ยะลา!J223"")+IMPORTRANGE(""https://docs.google.com/spreadsheets/d/1YiDIE7Klmt8osgdapRqYWNr7iPGFSsiJqq46S7PYRE0/edit?usp=share_link"",""ระนอง!J223"")+IMPORTRANGE(""https"&amp;"://docs.google.com/spreadsheets/d/16o_4B-V7AWw_6E93bSpXj_XxVv1oVQctk-B6z1dNEWU/edit?usp=share_link"",""สงขลา!J223"")+IMPORTRANGE(""https://docs.google.com/spreadsheets/d/16cywr71Fj4fA5OGRHsZh30ZG2gwJhMAQv69oVBzYHv0/edit?usp=share_link"",""สตูล!J223"")+IMP"&amp;"ORTRANGE(""https://docs.google.com/spreadsheets/d/1vO9Sws6kMtrVtyvrAJptINXjK8TFBoX9xLYOVK_C8bQ/edit?usp=share_link"",""สุราษฎร์ธานี!J223"")"),239000)</f>
        <v>239000</v>
      </c>
      <c r="K223" s="162">
        <f t="shared" ref="K223:K226" ca="1" si="124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20.25" customHeight="1">
      <c r="A224" s="169"/>
      <c r="B224" s="170"/>
      <c r="C224" s="170"/>
      <c r="D224" s="170"/>
      <c r="E224" s="175" t="s">
        <v>113</v>
      </c>
      <c r="F224" s="177"/>
      <c r="G224" s="178"/>
      <c r="H224" s="181" t="s">
        <v>109</v>
      </c>
      <c r="I224" s="36">
        <f ca="1">IFERROR(__xludf.DUMMYFUNCTION("IMPORTRANGE(""https://docs.google.com/spreadsheets/d/1kC41EOXpGBFOW658Fs3oD8beYlym0-zO54WY-2Qnp9I/edit?usp=share_link"",""กระบี่!I224"")
+IMPORTRANGE(""https://docs.google.com/spreadsheets/d/1FbzMZY_f3MDiEuK7RpCQKrilJ_kpX0Wm7QBZ1L7EjIU/edit?usp=share_link"&amp;""",""ชุมพร!I224"")+IMPORTRANGE(""https://docs.google.com/spreadsheets/d/1v5sN-00LrXuhBxw4dkh2GrG_z4l5oAqOdJRBCsUyMaM/edit?usp=share_link"",""ตรัง!I224"")+IMPORTRANGE(""https://docs.google.com/spreadsheets/d/1T5rRTzFc79aSIvqnzkZNvwPstq829QYz_xALlO1Z0s8/edi"&amp;"t?usp=share_link"",""นครศรีธรรมราช!I224"")+IMPORTRANGE(""https://docs.google.com/spreadsheets/d/1BeghqumK0IvCmRd2QOy6_afsZq7ZtAGrSnVJy2u7WmY/edit?usp=share_link"",""นราธิวาส!I224"")+IMPORTRANGE(""https://docs.google.com/spreadsheets/d/1IwnW3-jjRf74MCLW-6P"&amp;"iFwMUffRQXZwZA7YM609NmRc/edit?usp=share_link"",""ปัตตานี!I224"")+IMPORTRANGE(""https://docs.google.com/spreadsheets/d/1vl4QWbWdFruual5o_wdo6ZSqXZ_it806oja4CctTLKs/edit?usp=share_link"",""พังงา!I224"")+IMPORTRANGE(""https://docs.google.com/spreadsheets/d/1"&amp;"b6QssHQp2FoAPSMKHOy273KNzAomaIKhtdlvuZ_zDNE/edit?usp=share_link"",""พัทลุง!I224"")+IMPORTRANGE(""https://docs.google.com/spreadsheets/d/1o7UZe4_OqlqtLDHrj01Z2YFRSZDf1DMy1n3XViHaxRc/edit?usp=share_link"",""ภูเก็ต!I224"")+IMPORTRANGE(""https://docs.google.c"&amp;"om/spreadsheets/d/1ctPm1vUzcUCPuOj9-eoHUD85PqINFqUB0TjdSWmR5-c/edit?usp=share_link"",""ยะลา!I224"")+IMPORTRANGE(""https://docs.google.com/spreadsheets/d/1YiDIE7Klmt8osgdapRqYWNr7iPGFSsiJqq46S7PYRE0/edit?usp=share_link"",""ระนอง!I224"")+IMPORTRANGE(""https"&amp;"://docs.google.com/spreadsheets/d/16o_4B-V7AWw_6E93bSpXj_XxVv1oVQctk-B6z1dNEWU/edit?usp=share_link"",""สงขลา!I224"")+IMPORTRANGE(""https://docs.google.com/spreadsheets/d/16cywr71Fj4fA5OGRHsZh30ZG2gwJhMAQv69oVBzYHv0/edit?usp=share_link"",""สตูล!I224"")+IMP"&amp;"ORTRANGE(""https://docs.google.com/spreadsheets/d/1vO9Sws6kMtrVtyvrAJptINXjK8TFBoX9xLYOVK_C8bQ/edit?usp=share_link"",""สุราษฎร์ธานี!I224"")"),239000)</f>
        <v>239000</v>
      </c>
      <c r="J224" s="182">
        <f ca="1">IFERROR(__xludf.DUMMYFUNCTION("IMPORTRANGE(""https://docs.google.com/spreadsheets/d/1kC41EOXpGBFOW658Fs3oD8beYlym0-zO54WY-2Qnp9I/edit?usp=share_link"",""กระบี่!J224"")
+IMPORTRANGE(""https://docs.google.com/spreadsheets/d/1FbzMZY_f3MDiEuK7RpCQKrilJ_kpX0Wm7QBZ1L7EjIU/edit?usp=share_link"&amp;""",""ชุมพร!J224"")+IMPORTRANGE(""https://docs.google.com/spreadsheets/d/1v5sN-00LrXuhBxw4dkh2GrG_z4l5oAqOdJRBCsUyMaM/edit?usp=share_link"",""ตรัง!J224"")+IMPORTRANGE(""https://docs.google.com/spreadsheets/d/1T5rRTzFc79aSIvqnzkZNvwPstq829QYz_xALlO1Z0s8/edi"&amp;"t?usp=share_link"",""นครศรีธรรมราช!J224"")+IMPORTRANGE(""https://docs.google.com/spreadsheets/d/1BeghqumK0IvCmRd2QOy6_afsZq7ZtAGrSnVJy2u7WmY/edit?usp=share_link"",""นราธิวาส!J224"")+IMPORTRANGE(""https://docs.google.com/spreadsheets/d/1IwnW3-jjRf74MCLW-6P"&amp;"iFwMUffRQXZwZA7YM609NmRc/edit?usp=share_link"",""ปัตตานี!J224"")+IMPORTRANGE(""https://docs.google.com/spreadsheets/d/1vl4QWbWdFruual5o_wdo6ZSqXZ_it806oja4CctTLKs/edit?usp=share_link"",""พังงา!J224"")+IMPORTRANGE(""https://docs.google.com/spreadsheets/d/1"&amp;"b6QssHQp2FoAPSMKHOy273KNzAomaIKhtdlvuZ_zDNE/edit?usp=share_link"",""พัทลุง!J224"")+IMPORTRANGE(""https://docs.google.com/spreadsheets/d/1o7UZe4_OqlqtLDHrj01Z2YFRSZDf1DMy1n3XViHaxRc/edit?usp=share_link"",""ภูเก็ต!J224"")+IMPORTRANGE(""https://docs.google.c"&amp;"om/spreadsheets/d/1ctPm1vUzcUCPuOj9-eoHUD85PqINFqUB0TjdSWmR5-c/edit?usp=share_link"",""ยะลา!J224"")+IMPORTRANGE(""https://docs.google.com/spreadsheets/d/1YiDIE7Klmt8osgdapRqYWNr7iPGFSsiJqq46S7PYRE0/edit?usp=share_link"",""ระนอง!J224"")+IMPORTRANGE(""https"&amp;"://docs.google.com/spreadsheets/d/16o_4B-V7AWw_6E93bSpXj_XxVv1oVQctk-B6z1dNEWU/edit?usp=share_link"",""สงขลา!J224"")+IMPORTRANGE(""https://docs.google.com/spreadsheets/d/16cywr71Fj4fA5OGRHsZh30ZG2gwJhMAQv69oVBzYHv0/edit?usp=share_link"",""สตูล!J224"")+IMP"&amp;"ORTRANGE(""https://docs.google.com/spreadsheets/d/1vO9Sws6kMtrVtyvrAJptINXjK8TFBoX9xLYOVK_C8bQ/edit?usp=share_link"",""สุราษฎร์ธานี!J224"")"),239000)</f>
        <v>239000</v>
      </c>
      <c r="K224" s="162">
        <f t="shared" ca="1" si="124"/>
        <v>100</v>
      </c>
      <c r="L224" s="37"/>
      <c r="M224" s="37"/>
      <c r="N224" s="37"/>
      <c r="O224" s="37"/>
      <c r="P224" s="3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20.25" customHeight="1">
      <c r="A225" s="169"/>
      <c r="B225" s="170"/>
      <c r="C225" s="170"/>
      <c r="D225" s="211" t="s">
        <v>114</v>
      </c>
      <c r="E225" s="177"/>
      <c r="F225" s="177"/>
      <c r="G225" s="178"/>
      <c r="H225" s="181" t="s">
        <v>35</v>
      </c>
      <c r="I225" s="36">
        <f ca="1">IFERROR(__xludf.DUMMYFUNCTION("IMPORTRANGE(""https://docs.google.com/spreadsheets/d/1kC41EOXpGBFOW658Fs3oD8beYlym0-zO54WY-2Qnp9I/edit?usp=share_link"",""กระบี่!I225"")
+IMPORTRANGE(""https://docs.google.com/spreadsheets/d/1FbzMZY_f3MDiEuK7RpCQKrilJ_kpX0Wm7QBZ1L7EjIU/edit?usp=share_link"&amp;""",""ชุมพร!I225"")+IMPORTRANGE(""https://docs.google.com/spreadsheets/d/1v5sN-00LrXuhBxw4dkh2GrG_z4l5oAqOdJRBCsUyMaM/edit?usp=share_link"",""ตรัง!I225"")+IMPORTRANGE(""https://docs.google.com/spreadsheets/d/1T5rRTzFc79aSIvqnzkZNvwPstq829QYz_xALlO1Z0s8/edi"&amp;"t?usp=share_link"",""นครศรีธรรมราช!I225"")+IMPORTRANGE(""https://docs.google.com/spreadsheets/d/1BeghqumK0IvCmRd2QOy6_afsZq7ZtAGrSnVJy2u7WmY/edit?usp=share_link"",""นราธิวาส!I225"")+IMPORTRANGE(""https://docs.google.com/spreadsheets/d/1IwnW3-jjRf74MCLW-6P"&amp;"iFwMUffRQXZwZA7YM609NmRc/edit?usp=share_link"",""ปัตตานี!I225"")+IMPORTRANGE(""https://docs.google.com/spreadsheets/d/1vl4QWbWdFruual5o_wdo6ZSqXZ_it806oja4CctTLKs/edit?usp=share_link"",""พังงา!I225"")+IMPORTRANGE(""https://docs.google.com/spreadsheets/d/1"&amp;"b6QssHQp2FoAPSMKHOy273KNzAomaIKhtdlvuZ_zDNE/edit?usp=share_link"",""พัทลุง!I225"")+IMPORTRANGE(""https://docs.google.com/spreadsheets/d/1o7UZe4_OqlqtLDHrj01Z2YFRSZDf1DMy1n3XViHaxRc/edit?usp=share_link"",""ภูเก็ต!I225"")+IMPORTRANGE(""https://docs.google.c"&amp;"om/spreadsheets/d/1ctPm1vUzcUCPuOj9-eoHUD85PqINFqUB0TjdSWmR5-c/edit?usp=share_link"",""ยะลา!I225"")+IMPORTRANGE(""https://docs.google.com/spreadsheets/d/1YiDIE7Klmt8osgdapRqYWNr7iPGFSsiJqq46S7PYRE0/edit?usp=share_link"",""ระนอง!I225"")+IMPORTRANGE(""https"&amp;"://docs.google.com/spreadsheets/d/16o_4B-V7AWw_6E93bSpXj_XxVv1oVQctk-B6z1dNEWU/edit?usp=share_link"",""สงขลา!I225"")+IMPORTRANGE(""https://docs.google.com/spreadsheets/d/16cywr71Fj4fA5OGRHsZh30ZG2gwJhMAQv69oVBzYHv0/edit?usp=share_link"",""สตูล!I225"")+IMP"&amp;"ORTRANGE(""https://docs.google.com/spreadsheets/d/1vO9Sws6kMtrVtyvrAJptINXjK8TFBoX9xLYOVK_C8bQ/edit?usp=share_link"",""สุราษฎร์ธานี!I225"")"),40)</f>
        <v>40</v>
      </c>
      <c r="J225" s="182">
        <f ca="1">IFERROR(__xludf.DUMMYFUNCTION("IMPORTRANGE(""https://docs.google.com/spreadsheets/d/1kC41EOXpGBFOW658Fs3oD8beYlym0-zO54WY-2Qnp9I/edit?usp=share_link"",""กระบี่!J225"")
+IMPORTRANGE(""https://docs.google.com/spreadsheets/d/1FbzMZY_f3MDiEuK7RpCQKrilJ_kpX0Wm7QBZ1L7EjIU/edit?usp=share_link"&amp;""",""ชุมพร!J225"")+IMPORTRANGE(""https://docs.google.com/spreadsheets/d/1v5sN-00LrXuhBxw4dkh2GrG_z4l5oAqOdJRBCsUyMaM/edit?usp=share_link"",""ตรัง!J225"")+IMPORTRANGE(""https://docs.google.com/spreadsheets/d/1T5rRTzFc79aSIvqnzkZNvwPstq829QYz_xALlO1Z0s8/edi"&amp;"t?usp=share_link"",""นครศรีธรรมราช!J225"")+IMPORTRANGE(""https://docs.google.com/spreadsheets/d/1BeghqumK0IvCmRd2QOy6_afsZq7ZtAGrSnVJy2u7WmY/edit?usp=share_link"",""นราธิวาส!J225"")+IMPORTRANGE(""https://docs.google.com/spreadsheets/d/1IwnW3-jjRf74MCLW-6P"&amp;"iFwMUffRQXZwZA7YM609NmRc/edit?usp=share_link"",""ปัตตานี!J225"")+IMPORTRANGE(""https://docs.google.com/spreadsheets/d/1vl4QWbWdFruual5o_wdo6ZSqXZ_it806oja4CctTLKs/edit?usp=share_link"",""พังงา!J225"")+IMPORTRANGE(""https://docs.google.com/spreadsheets/d/1"&amp;"b6QssHQp2FoAPSMKHOy273KNzAomaIKhtdlvuZ_zDNE/edit?usp=share_link"",""พัทลุง!J225"")+IMPORTRANGE(""https://docs.google.com/spreadsheets/d/1o7UZe4_OqlqtLDHrj01Z2YFRSZDf1DMy1n3XViHaxRc/edit?usp=share_link"",""ภูเก็ต!J225"")+IMPORTRANGE(""https://docs.google.c"&amp;"om/spreadsheets/d/1ctPm1vUzcUCPuOj9-eoHUD85PqINFqUB0TjdSWmR5-c/edit?usp=share_link"",""ยะลา!J225"")+IMPORTRANGE(""https://docs.google.com/spreadsheets/d/1YiDIE7Klmt8osgdapRqYWNr7iPGFSsiJqq46S7PYRE0/edit?usp=share_link"",""ระนอง!J225"")+IMPORTRANGE(""https"&amp;"://docs.google.com/spreadsheets/d/16o_4B-V7AWw_6E93bSpXj_XxVv1oVQctk-B6z1dNEWU/edit?usp=share_link"",""สงขลา!J225"")+IMPORTRANGE(""https://docs.google.com/spreadsheets/d/16cywr71Fj4fA5OGRHsZh30ZG2gwJhMAQv69oVBzYHv0/edit?usp=share_link"",""สตูล!J225"")+IMP"&amp;"ORTRANGE(""https://docs.google.com/spreadsheets/d/1vO9Sws6kMtrVtyvrAJptINXjK8TFBoX9xLYOVK_C8bQ/edit?usp=share_link"",""สุราษฎร์ธานี!J225"")"),40)</f>
        <v>40</v>
      </c>
      <c r="K225" s="162">
        <f t="shared" ca="1" si="124"/>
        <v>100</v>
      </c>
      <c r="L225" s="37"/>
      <c r="M225" s="37"/>
      <c r="N225" s="37"/>
      <c r="O225" s="37"/>
      <c r="P225" s="3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20.25" customHeight="1">
      <c r="A226" s="292"/>
      <c r="B226" s="293"/>
      <c r="C226" s="294" t="s">
        <v>115</v>
      </c>
      <c r="D226" s="295"/>
      <c r="E226" s="295"/>
      <c r="F226" s="295"/>
      <c r="G226" s="296"/>
      <c r="H226" s="297" t="s">
        <v>35</v>
      </c>
      <c r="I226" s="298">
        <f t="shared" ref="I226:J226" ca="1" si="125">I237+I248</f>
        <v>100</v>
      </c>
      <c r="J226" s="298">
        <f t="shared" ca="1" si="125"/>
        <v>110</v>
      </c>
      <c r="K226" s="299">
        <f t="shared" ca="1" si="124"/>
        <v>110</v>
      </c>
      <c r="L226" s="300"/>
      <c r="M226" s="300"/>
      <c r="N226" s="300"/>
      <c r="O226" s="300"/>
      <c r="P226" s="300"/>
      <c r="Q226" s="301"/>
      <c r="R226" s="301"/>
      <c r="S226" s="301"/>
      <c r="T226" s="301"/>
      <c r="U226" s="301"/>
      <c r="V226" s="301"/>
      <c r="W226" s="301"/>
      <c r="X226" s="301"/>
      <c r="Y226" s="301"/>
      <c r="Z226" s="301"/>
    </row>
    <row r="227" spans="1:26" ht="20.25" customHeight="1">
      <c r="A227" s="302"/>
      <c r="B227" s="303"/>
      <c r="C227" s="304" t="s">
        <v>16</v>
      </c>
      <c r="D227" s="305" t="s">
        <v>17</v>
      </c>
      <c r="E227" s="303"/>
      <c r="F227" s="303"/>
      <c r="G227" s="306"/>
      <c r="H227" s="307" t="s">
        <v>12</v>
      </c>
      <c r="I227" s="308"/>
      <c r="J227" s="308"/>
      <c r="K227" s="309"/>
      <c r="L227" s="310">
        <f t="shared" ref="L227:L231" ca="1" si="126">L238+L249</f>
        <v>293300</v>
      </c>
      <c r="M227" s="310"/>
      <c r="N227" s="310">
        <f t="shared" ref="N227:N231" ca="1" si="127">N238+N249</f>
        <v>293300</v>
      </c>
      <c r="O227" s="311"/>
      <c r="P227" s="311"/>
      <c r="Q227" s="312"/>
      <c r="R227" s="312"/>
      <c r="S227" s="312"/>
      <c r="T227" s="312"/>
      <c r="U227" s="312"/>
      <c r="V227" s="312"/>
      <c r="W227" s="312"/>
      <c r="X227" s="312"/>
      <c r="Y227" s="312"/>
      <c r="Z227" s="312"/>
    </row>
    <row r="228" spans="1:26" ht="20.25" customHeight="1">
      <c r="A228" s="313"/>
      <c r="B228" s="314"/>
      <c r="C228" s="315"/>
      <c r="D228" s="316" t="s">
        <v>97</v>
      </c>
      <c r="E228" s="315"/>
      <c r="F228" s="315"/>
      <c r="G228" s="317"/>
      <c r="H228" s="318" t="s">
        <v>12</v>
      </c>
      <c r="I228" s="319"/>
      <c r="J228" s="319"/>
      <c r="K228" s="320"/>
      <c r="L228" s="321">
        <f t="shared" ca="1" si="126"/>
        <v>165000</v>
      </c>
      <c r="M228" s="321"/>
      <c r="N228" s="321">
        <f t="shared" ca="1" si="127"/>
        <v>167251</v>
      </c>
      <c r="O228" s="321"/>
      <c r="P228" s="321"/>
      <c r="Q228" s="312"/>
      <c r="R228" s="312"/>
      <c r="S228" s="312"/>
      <c r="T228" s="312"/>
      <c r="U228" s="312"/>
      <c r="V228" s="312"/>
      <c r="W228" s="312"/>
      <c r="X228" s="312"/>
      <c r="Y228" s="312"/>
      <c r="Z228" s="312"/>
    </row>
    <row r="229" spans="1:26" ht="20.25" customHeight="1">
      <c r="A229" s="322"/>
      <c r="B229" s="314"/>
      <c r="C229" s="323"/>
      <c r="D229" s="324" t="s">
        <v>98</v>
      </c>
      <c r="E229" s="315"/>
      <c r="F229" s="315"/>
      <c r="G229" s="317"/>
      <c r="H229" s="318" t="s">
        <v>12</v>
      </c>
      <c r="I229" s="325"/>
      <c r="J229" s="325"/>
      <c r="K229" s="321"/>
      <c r="L229" s="321">
        <f t="shared" ca="1" si="126"/>
        <v>88300</v>
      </c>
      <c r="M229" s="321"/>
      <c r="N229" s="321">
        <f t="shared" ca="1" si="127"/>
        <v>85539</v>
      </c>
      <c r="O229" s="321"/>
      <c r="P229" s="321"/>
      <c r="Q229" s="326"/>
      <c r="R229" s="326"/>
      <c r="S229" s="326"/>
      <c r="T229" s="326"/>
      <c r="U229" s="326"/>
      <c r="V229" s="326"/>
      <c r="W229" s="326"/>
      <c r="X229" s="326"/>
      <c r="Y229" s="326"/>
      <c r="Z229" s="326"/>
    </row>
    <row r="230" spans="1:26" ht="20.25" customHeight="1">
      <c r="A230" s="322"/>
      <c r="B230" s="314"/>
      <c r="C230" s="323"/>
      <c r="D230" s="324" t="s">
        <v>116</v>
      </c>
      <c r="E230" s="315"/>
      <c r="F230" s="315"/>
      <c r="G230" s="317"/>
      <c r="H230" s="318" t="s">
        <v>12</v>
      </c>
      <c r="I230" s="325"/>
      <c r="J230" s="325"/>
      <c r="K230" s="321"/>
      <c r="L230" s="321">
        <f t="shared" ca="1" si="126"/>
        <v>0</v>
      </c>
      <c r="M230" s="321"/>
      <c r="N230" s="321">
        <f t="shared" ca="1" si="127"/>
        <v>0</v>
      </c>
      <c r="O230" s="321"/>
      <c r="P230" s="321"/>
      <c r="Q230" s="326"/>
      <c r="R230" s="326"/>
      <c r="S230" s="326"/>
      <c r="T230" s="326"/>
      <c r="U230" s="326"/>
      <c r="V230" s="326"/>
      <c r="W230" s="326"/>
      <c r="X230" s="326"/>
      <c r="Y230" s="326"/>
      <c r="Z230" s="326"/>
    </row>
    <row r="231" spans="1:26" ht="20.25" customHeight="1">
      <c r="A231" s="322"/>
      <c r="B231" s="314"/>
      <c r="C231" s="323"/>
      <c r="D231" s="324" t="s">
        <v>100</v>
      </c>
      <c r="E231" s="315"/>
      <c r="F231" s="315"/>
      <c r="G231" s="317"/>
      <c r="H231" s="318" t="s">
        <v>12</v>
      </c>
      <c r="I231" s="325"/>
      <c r="J231" s="325"/>
      <c r="K231" s="321"/>
      <c r="L231" s="321">
        <f t="shared" ca="1" si="126"/>
        <v>40000</v>
      </c>
      <c r="M231" s="321"/>
      <c r="N231" s="321">
        <f t="shared" ca="1" si="127"/>
        <v>40510</v>
      </c>
      <c r="O231" s="321"/>
      <c r="P231" s="321"/>
      <c r="Q231" s="326"/>
      <c r="R231" s="326"/>
      <c r="S231" s="326"/>
      <c r="T231" s="326"/>
      <c r="U231" s="326"/>
      <c r="V231" s="326"/>
      <c r="W231" s="326"/>
      <c r="X231" s="326"/>
      <c r="Y231" s="326"/>
      <c r="Z231" s="326"/>
    </row>
    <row r="232" spans="1:26" ht="20.25" customHeight="1">
      <c r="A232" s="327"/>
      <c r="B232" s="328"/>
      <c r="C232" s="323" t="s">
        <v>16</v>
      </c>
      <c r="D232" s="329" t="s">
        <v>38</v>
      </c>
      <c r="E232" s="330"/>
      <c r="F232" s="330"/>
      <c r="G232" s="331"/>
      <c r="H232" s="332"/>
      <c r="I232" s="319"/>
      <c r="J232" s="325"/>
      <c r="K232" s="321"/>
      <c r="L232" s="321"/>
      <c r="M232" s="321"/>
      <c r="N232" s="321"/>
      <c r="O232" s="320"/>
      <c r="P232" s="320"/>
      <c r="Q232" s="312"/>
      <c r="R232" s="312"/>
      <c r="S232" s="312"/>
      <c r="T232" s="312"/>
      <c r="U232" s="312"/>
      <c r="V232" s="312"/>
      <c r="W232" s="312"/>
      <c r="X232" s="312"/>
      <c r="Y232" s="312"/>
      <c r="Z232" s="312"/>
    </row>
    <row r="233" spans="1:26" ht="20.25" customHeight="1">
      <c r="A233" s="327"/>
      <c r="B233" s="328"/>
      <c r="C233" s="328"/>
      <c r="D233" s="333" t="s">
        <v>117</v>
      </c>
      <c r="E233" s="334"/>
      <c r="F233" s="334"/>
      <c r="G233" s="335"/>
      <c r="H233" s="336" t="s">
        <v>35</v>
      </c>
      <c r="I233" s="325">
        <f t="shared" ref="I233:J233" ca="1" si="128">I244+I255</f>
        <v>100</v>
      </c>
      <c r="J233" s="325">
        <f t="shared" ca="1" si="128"/>
        <v>110</v>
      </c>
      <c r="K233" s="321">
        <f ca="1">IF(I233&gt;0,J233*100/I233,0)</f>
        <v>110</v>
      </c>
      <c r="L233" s="321"/>
      <c r="M233" s="321"/>
      <c r="N233" s="321"/>
      <c r="O233" s="321"/>
      <c r="P233" s="321"/>
      <c r="Q233" s="312"/>
      <c r="R233" s="312"/>
      <c r="S233" s="312"/>
      <c r="T233" s="312"/>
      <c r="U233" s="312"/>
      <c r="V233" s="312"/>
      <c r="W233" s="312"/>
      <c r="X233" s="312"/>
      <c r="Y233" s="312"/>
      <c r="Z233" s="312"/>
    </row>
    <row r="234" spans="1:26" ht="20.25" customHeight="1">
      <c r="A234" s="327"/>
      <c r="B234" s="328"/>
      <c r="C234" s="328"/>
      <c r="D234" s="337" t="s">
        <v>43</v>
      </c>
      <c r="E234" s="334"/>
      <c r="F234" s="334"/>
      <c r="G234" s="335"/>
      <c r="H234" s="336"/>
      <c r="I234" s="325"/>
      <c r="J234" s="325"/>
      <c r="K234" s="321"/>
      <c r="L234" s="321"/>
      <c r="M234" s="321"/>
      <c r="N234" s="321"/>
      <c r="O234" s="320"/>
      <c r="P234" s="320"/>
      <c r="Q234" s="312"/>
      <c r="R234" s="312"/>
      <c r="S234" s="312"/>
      <c r="T234" s="312"/>
      <c r="U234" s="312"/>
      <c r="V234" s="312"/>
      <c r="W234" s="312"/>
      <c r="X234" s="312"/>
      <c r="Y234" s="312"/>
      <c r="Z234" s="312"/>
    </row>
    <row r="235" spans="1:26" ht="20.25" customHeight="1">
      <c r="A235" s="327"/>
      <c r="B235" s="328"/>
      <c r="C235" s="328"/>
      <c r="D235" s="328"/>
      <c r="E235" s="338" t="s">
        <v>118</v>
      </c>
      <c r="F235" s="334"/>
      <c r="G235" s="335"/>
      <c r="H235" s="336" t="s">
        <v>35</v>
      </c>
      <c r="I235" s="325">
        <f t="shared" ref="I235:J235" ca="1" si="129">I246+I257</f>
        <v>0</v>
      </c>
      <c r="J235" s="325">
        <f t="shared" ca="1" si="129"/>
        <v>0</v>
      </c>
      <c r="K235" s="321">
        <f t="shared" ref="K235:K237" ca="1" si="130">IF(I235&gt;0,J235*100/I235,0)</f>
        <v>0</v>
      </c>
      <c r="L235" s="321"/>
      <c r="M235" s="321"/>
      <c r="N235" s="321"/>
      <c r="O235" s="321"/>
      <c r="P235" s="321"/>
      <c r="Q235" s="312"/>
      <c r="R235" s="312"/>
      <c r="S235" s="312"/>
      <c r="T235" s="312"/>
      <c r="U235" s="312"/>
      <c r="V235" s="312"/>
      <c r="W235" s="312"/>
      <c r="X235" s="312"/>
      <c r="Y235" s="312"/>
      <c r="Z235" s="312"/>
    </row>
    <row r="236" spans="1:26" ht="20.25" customHeight="1">
      <c r="A236" s="327"/>
      <c r="B236" s="328"/>
      <c r="C236" s="328"/>
      <c r="D236" s="328"/>
      <c r="E236" s="338" t="s">
        <v>119</v>
      </c>
      <c r="F236" s="334"/>
      <c r="G236" s="335"/>
      <c r="H236" s="336" t="s">
        <v>66</v>
      </c>
      <c r="I236" s="325">
        <f t="shared" ref="I236:J236" ca="1" si="131">I247+I258</f>
        <v>4</v>
      </c>
      <c r="J236" s="325">
        <f t="shared" ca="1" si="131"/>
        <v>4</v>
      </c>
      <c r="K236" s="321">
        <f t="shared" ca="1" si="130"/>
        <v>100</v>
      </c>
      <c r="L236" s="321"/>
      <c r="M236" s="321"/>
      <c r="N236" s="321"/>
      <c r="O236" s="321"/>
      <c r="P236" s="321"/>
      <c r="Q236" s="312"/>
      <c r="R236" s="312"/>
      <c r="S236" s="312"/>
      <c r="T236" s="312"/>
      <c r="U236" s="312"/>
      <c r="V236" s="312"/>
      <c r="W236" s="312"/>
      <c r="X236" s="312"/>
      <c r="Y236" s="312"/>
      <c r="Z236" s="312"/>
    </row>
    <row r="237" spans="1:26" ht="20.25" hidden="1" customHeight="1">
      <c r="A237" s="339"/>
      <c r="B237" s="340"/>
      <c r="C237" s="341" t="s">
        <v>120</v>
      </c>
      <c r="D237" s="342"/>
      <c r="E237" s="342"/>
      <c r="F237" s="342"/>
      <c r="G237" s="343"/>
      <c r="H237" s="265" t="s">
        <v>35</v>
      </c>
      <c r="I237" s="344">
        <f t="shared" ref="I237:J237" ca="1" si="132">I244</f>
        <v>100</v>
      </c>
      <c r="J237" s="344">
        <f t="shared" ca="1" si="132"/>
        <v>110</v>
      </c>
      <c r="K237" s="345">
        <f t="shared" ca="1" si="130"/>
        <v>110</v>
      </c>
      <c r="L237" s="346"/>
      <c r="M237" s="346"/>
      <c r="N237" s="346"/>
      <c r="O237" s="346"/>
      <c r="P237" s="346"/>
      <c r="Q237" s="224"/>
      <c r="R237" s="224"/>
      <c r="S237" s="224"/>
      <c r="T237" s="224"/>
      <c r="U237" s="224"/>
      <c r="V237" s="224"/>
      <c r="W237" s="224"/>
      <c r="X237" s="224"/>
      <c r="Y237" s="224"/>
      <c r="Z237" s="224"/>
    </row>
    <row r="238" spans="1:26" ht="20.25" hidden="1" customHeight="1">
      <c r="A238" s="347"/>
      <c r="B238" s="348"/>
      <c r="C238" s="349" t="s">
        <v>16</v>
      </c>
      <c r="D238" s="350" t="s">
        <v>17</v>
      </c>
      <c r="E238" s="348"/>
      <c r="F238" s="348"/>
      <c r="G238" s="351"/>
      <c r="H238" s="352" t="s">
        <v>12</v>
      </c>
      <c r="I238" s="353"/>
      <c r="J238" s="353"/>
      <c r="K238" s="354"/>
      <c r="L238" s="355">
        <f ca="1">L239+L240+L241+L242</f>
        <v>293300</v>
      </c>
      <c r="M238" s="355"/>
      <c r="N238" s="355">
        <f ca="1">N239+N240+N241+N242</f>
        <v>293300</v>
      </c>
      <c r="O238" s="355">
        <f ca="1">IF(L238&gt;0,N238*100/L238,0)</f>
        <v>100</v>
      </c>
      <c r="P238" s="355">
        <f>IF(M238&gt;0,N238*100/M238,0)</f>
        <v>0</v>
      </c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0.25" hidden="1" customHeight="1">
      <c r="A239" s="155"/>
      <c r="B239" s="356"/>
      <c r="C239" s="39"/>
      <c r="D239" s="40" t="s">
        <v>97</v>
      </c>
      <c r="E239" s="39"/>
      <c r="F239" s="39"/>
      <c r="G239" s="41"/>
      <c r="H239" s="164" t="s">
        <v>12</v>
      </c>
      <c r="I239" s="165"/>
      <c r="J239" s="165"/>
      <c r="K239" s="166"/>
      <c r="L239" s="44">
        <f ca="1">IFERROR(__xludf.DUMMYFUNCTION("IMPORTRANGE(""https://docs.google.com/spreadsheets/d/1kC41EOXpGBFOW658Fs3oD8beYlym0-zO54WY-2Qnp9I/edit?usp=share_link"",""กระบี่!L239"")
+IMPORTRANGE(""https://docs.google.com/spreadsheets/d/1FbzMZY_f3MDiEuK7RpCQKrilJ_kpX0Wm7QBZ1L7EjIU/edit?usp=share_link"&amp;""",""ชุมพร!L239"")+IMPORTRANGE(""https://docs.google.com/spreadsheets/d/1v5sN-00LrXuhBxw4dkh2GrG_z4l5oAqOdJRBCsUyMaM/edit?usp=share_link"",""ตรัง!L239"")+IMPORTRANGE(""https://docs.google.com/spreadsheets/d/1T5rRTzFc79aSIvqnzkZNvwPstq829QYz_xALlO1Z0s8/edi"&amp;"t?usp=share_link"",""นครศรีธรรมราช!L239"")+IMPORTRANGE(""https://docs.google.com/spreadsheets/d/1BeghqumK0IvCmRd2QOy6_afsZq7ZtAGrSnVJy2u7WmY/edit?usp=share_link"",""นราธิวาส!L239"")+IMPORTRANGE(""https://docs.google.com/spreadsheets/d/1IwnW3-jjRf74MCLW-6P"&amp;"iFwMUffRQXZwZA7YM609NmRc/edit?usp=share_link"",""ปัตตานี!L239"")+IMPORTRANGE(""https://docs.google.com/spreadsheets/d/1vl4QWbWdFruual5o_wdo6ZSqXZ_it806oja4CctTLKs/edit?usp=share_link"",""พังงา!L239"")+IMPORTRANGE(""https://docs.google.com/spreadsheets/d/1"&amp;"b6QssHQp2FoAPSMKHOy273KNzAomaIKhtdlvuZ_zDNE/edit?usp=share_link"",""พัทลุง!L239"")+IMPORTRANGE(""https://docs.google.com/spreadsheets/d/1o7UZe4_OqlqtLDHrj01Z2YFRSZDf1DMy1n3XViHaxRc/edit?usp=share_link"",""ภูเก็ต!L239"")+IMPORTRANGE(""https://docs.google.c"&amp;"om/spreadsheets/d/1ctPm1vUzcUCPuOj9-eoHUD85PqINFqUB0TjdSWmR5-c/edit?usp=share_link"",""ยะลา!L239"")+IMPORTRANGE(""https://docs.google.com/spreadsheets/d/1YiDIE7Klmt8osgdapRqYWNr7iPGFSsiJqq46S7PYRE0/edit?usp=share_link"",""ระนอง!L239"")+IMPORTRANGE(""https"&amp;"://docs.google.com/spreadsheets/d/16o_4B-V7AWw_6E93bSpXj_XxVv1oVQctk-B6z1dNEWU/edit?usp=share_link"",""สงขลา!L239"")+IMPORTRANGE(""https://docs.google.com/spreadsheets/d/16cywr71Fj4fA5OGRHsZh30ZG2gwJhMAQv69oVBzYHv0/edit?usp=share_link"",""สตูล!L239"")+IMP"&amp;"ORTRANGE(""https://docs.google.com/spreadsheets/d/1vO9Sws6kMtrVtyvrAJptINXjK8TFBoX9xLYOVK_C8bQ/edit?usp=share_link"",""สุราษฎร์ธานี!L239"")"),165000)</f>
        <v>165000</v>
      </c>
      <c r="M239" s="44"/>
      <c r="N239" s="357">
        <f ca="1">IFERROR(__xludf.DUMMYFUNCTION("IMPORTRANGE(""https://docs.google.com/spreadsheets/d/1kC41EOXpGBFOW658Fs3oD8beYlym0-zO54WY-2Qnp9I/edit?usp=share_link"",""กระบี่!N239"")
+IMPORTRANGE(""https://docs.google.com/spreadsheets/d/1FbzMZY_f3MDiEuK7RpCQKrilJ_kpX0Wm7QBZ1L7EjIU/edit?usp=share_link"&amp;""",""ชุมพร!N239"")+IMPORTRANGE(""https://docs.google.com/spreadsheets/d/1v5sN-00LrXuhBxw4dkh2GrG_z4l5oAqOdJRBCsUyMaM/edit?usp=share_link"",""ตรัง!N239"")+IMPORTRANGE(""https://docs.google.com/spreadsheets/d/1T5rRTzFc79aSIvqnzkZNvwPstq829QYz_xALlO1Z0s8/edi"&amp;"t?usp=share_link"",""นครศรีธรรมราช!N239"")+IMPORTRANGE(""https://docs.google.com/spreadsheets/d/1BeghqumK0IvCmRd2QOy6_afsZq7ZtAGrSnVJy2u7WmY/edit?usp=share_link"",""นราธิวาส!N239"")+IMPORTRANGE(""https://docs.google.com/spreadsheets/d/1IwnW3-jjRf74MCLW-6P"&amp;"iFwMUffRQXZwZA7YM609NmRc/edit?usp=share_link"",""ปัตตานี!N239"")+IMPORTRANGE(""https://docs.google.com/spreadsheets/d/1vl4QWbWdFruual5o_wdo6ZSqXZ_it806oja4CctTLKs/edit?usp=share_link"",""พังงา!N239"")+IMPORTRANGE(""https://docs.google.com/spreadsheets/d/1"&amp;"b6QssHQp2FoAPSMKHOy273KNzAomaIKhtdlvuZ_zDNE/edit?usp=share_link"",""พัทลุง!N239"")+IMPORTRANGE(""https://docs.google.com/spreadsheets/d/1o7UZe4_OqlqtLDHrj01Z2YFRSZDf1DMy1n3XViHaxRc/edit?usp=share_link"",""ภูเก็ต!N239"")+IMPORTRANGE(""https://docs.google.c"&amp;"om/spreadsheets/d/1ctPm1vUzcUCPuOj9-eoHUD85PqINFqUB0TjdSWmR5-c/edit?usp=share_link"",""ยะลา!N239"")+IMPORTRANGE(""https://docs.google.com/spreadsheets/d/1YiDIE7Klmt8osgdapRqYWNr7iPGFSsiJqq46S7PYRE0/edit?usp=share_link"",""ระนอง!N239"")+IMPORTRANGE(""https"&amp;"://docs.google.com/spreadsheets/d/16o_4B-V7AWw_6E93bSpXj_XxVv1oVQctk-B6z1dNEWU/edit?usp=share_link"",""สงขลา!N239"")+IMPORTRANGE(""https://docs.google.com/spreadsheets/d/16cywr71Fj4fA5OGRHsZh30ZG2gwJhMAQv69oVBzYHv0/edit?usp=share_link"",""สตูล!N239"")+IMP"&amp;"ORTRANGE(""https://docs.google.com/spreadsheets/d/1vO9Sws6kMtrVtyvrAJptINXjK8TFBoX9xLYOVK_C8bQ/edit?usp=share_link"",""สุราษฎร์ธานี!N239"")"),167251)</f>
        <v>167251</v>
      </c>
      <c r="O239" s="44"/>
      <c r="P239" s="44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0.25" hidden="1" customHeight="1">
      <c r="A240" s="358"/>
      <c r="B240" s="356"/>
      <c r="C240" s="359"/>
      <c r="D240" s="222" t="s">
        <v>98</v>
      </c>
      <c r="E240" s="39"/>
      <c r="F240" s="39"/>
      <c r="G240" s="41"/>
      <c r="H240" s="164" t="s">
        <v>12</v>
      </c>
      <c r="I240" s="43"/>
      <c r="J240" s="43"/>
      <c r="K240" s="44"/>
      <c r="L240" s="44">
        <f ca="1">IFERROR(__xludf.DUMMYFUNCTION("IMPORTRANGE(""https://docs.google.com/spreadsheets/d/1kC41EOXpGBFOW658Fs3oD8beYlym0-zO54WY-2Qnp9I/edit?usp=share_link"",""กระบี่!L240"")
+IMPORTRANGE(""https://docs.google.com/spreadsheets/d/1FbzMZY_f3MDiEuK7RpCQKrilJ_kpX0Wm7QBZ1L7EjIU/edit?usp=share_link"&amp;""",""ชุมพร!L240"")+IMPORTRANGE(""https://docs.google.com/spreadsheets/d/1v5sN-00LrXuhBxw4dkh2GrG_z4l5oAqOdJRBCsUyMaM/edit?usp=share_link"",""ตรัง!L240"")+IMPORTRANGE(""https://docs.google.com/spreadsheets/d/1T5rRTzFc79aSIvqnzkZNvwPstq829QYz_xALlO1Z0s8/edi"&amp;"t?usp=share_link"",""นครศรีธรรมราช!L240"")+IMPORTRANGE(""https://docs.google.com/spreadsheets/d/1BeghqumK0IvCmRd2QOy6_afsZq7ZtAGrSnVJy2u7WmY/edit?usp=share_link"",""นราธิวาส!L240"")+IMPORTRANGE(""https://docs.google.com/spreadsheets/d/1IwnW3-jjRf74MCLW-6P"&amp;"iFwMUffRQXZwZA7YM609NmRc/edit?usp=share_link"",""ปัตตานี!L240"")+IMPORTRANGE(""https://docs.google.com/spreadsheets/d/1vl4QWbWdFruual5o_wdo6ZSqXZ_it806oja4CctTLKs/edit?usp=share_link"",""พังงา!L240"")+IMPORTRANGE(""https://docs.google.com/spreadsheets/d/1"&amp;"b6QssHQp2FoAPSMKHOy273KNzAomaIKhtdlvuZ_zDNE/edit?usp=share_link"",""พัทลุง!L240"")+IMPORTRANGE(""https://docs.google.com/spreadsheets/d/1o7UZe4_OqlqtLDHrj01Z2YFRSZDf1DMy1n3XViHaxRc/edit?usp=share_link"",""ภูเก็ต!L240"")+IMPORTRANGE(""https://docs.google.c"&amp;"om/spreadsheets/d/1ctPm1vUzcUCPuOj9-eoHUD85PqINFqUB0TjdSWmR5-c/edit?usp=share_link"",""ยะลา!L240"")+IMPORTRANGE(""https://docs.google.com/spreadsheets/d/1YiDIE7Klmt8osgdapRqYWNr7iPGFSsiJqq46S7PYRE0/edit?usp=share_link"",""ระนอง!L240"")+IMPORTRANGE(""https"&amp;"://docs.google.com/spreadsheets/d/16o_4B-V7AWw_6E93bSpXj_XxVv1oVQctk-B6z1dNEWU/edit?usp=share_link"",""สงขลา!L240"")+IMPORTRANGE(""https://docs.google.com/spreadsheets/d/16cywr71Fj4fA5OGRHsZh30ZG2gwJhMAQv69oVBzYHv0/edit?usp=share_link"",""สตูล!L240"")+IMP"&amp;"ORTRANGE(""https://docs.google.com/spreadsheets/d/1vO9Sws6kMtrVtyvrAJptINXjK8TFBoX9xLYOVK_C8bQ/edit?usp=share_link"",""สุราษฎร์ธานี!L240"")"),88300)</f>
        <v>88300</v>
      </c>
      <c r="M240" s="44"/>
      <c r="N240" s="357">
        <f ca="1">IFERROR(__xludf.DUMMYFUNCTION("IMPORTRANGE(""https://docs.google.com/spreadsheets/d/1kC41EOXpGBFOW658Fs3oD8beYlym0-zO54WY-2Qnp9I/edit?usp=share_link"",""กระบี่!N240"")
+IMPORTRANGE(""https://docs.google.com/spreadsheets/d/1FbzMZY_f3MDiEuK7RpCQKrilJ_kpX0Wm7QBZ1L7EjIU/edit?usp=share_link"&amp;""",""ชุมพร!N240"")+IMPORTRANGE(""https://docs.google.com/spreadsheets/d/1v5sN-00LrXuhBxw4dkh2GrG_z4l5oAqOdJRBCsUyMaM/edit?usp=share_link"",""ตรัง!N240"")+IMPORTRANGE(""https://docs.google.com/spreadsheets/d/1T5rRTzFc79aSIvqnzkZNvwPstq829QYz_xALlO1Z0s8/edi"&amp;"t?usp=share_link"",""นครศรีธรรมราช!N240"")+IMPORTRANGE(""https://docs.google.com/spreadsheets/d/1BeghqumK0IvCmRd2QOy6_afsZq7ZtAGrSnVJy2u7WmY/edit?usp=share_link"",""นราธิวาส!N240"")+IMPORTRANGE(""https://docs.google.com/spreadsheets/d/1IwnW3-jjRf74MCLW-6P"&amp;"iFwMUffRQXZwZA7YM609NmRc/edit?usp=share_link"",""ปัตตานี!N240"")+IMPORTRANGE(""https://docs.google.com/spreadsheets/d/1vl4QWbWdFruual5o_wdo6ZSqXZ_it806oja4CctTLKs/edit?usp=share_link"",""พังงา!N240"")+IMPORTRANGE(""https://docs.google.com/spreadsheets/d/1"&amp;"b6QssHQp2FoAPSMKHOy273KNzAomaIKhtdlvuZ_zDNE/edit?usp=share_link"",""พัทลุง!N240"")+IMPORTRANGE(""https://docs.google.com/spreadsheets/d/1o7UZe4_OqlqtLDHrj01Z2YFRSZDf1DMy1n3XViHaxRc/edit?usp=share_link"",""ภูเก็ต!N240"")+IMPORTRANGE(""https://docs.google.c"&amp;"om/spreadsheets/d/1ctPm1vUzcUCPuOj9-eoHUD85PqINFqUB0TjdSWmR5-c/edit?usp=share_link"",""ยะลา!N240"")+IMPORTRANGE(""https://docs.google.com/spreadsheets/d/1YiDIE7Klmt8osgdapRqYWNr7iPGFSsiJqq46S7PYRE0/edit?usp=share_link"",""ระนอง!N240"")+IMPORTRANGE(""https"&amp;"://docs.google.com/spreadsheets/d/16o_4B-V7AWw_6E93bSpXj_XxVv1oVQctk-B6z1dNEWU/edit?usp=share_link"",""สงขลา!N240"")+IMPORTRANGE(""https://docs.google.com/spreadsheets/d/16cywr71Fj4fA5OGRHsZh30ZG2gwJhMAQv69oVBzYHv0/edit?usp=share_link"",""สตูล!N240"")+IMP"&amp;"ORTRANGE(""https://docs.google.com/spreadsheets/d/1vO9Sws6kMtrVtyvrAJptINXjK8TFBoX9xLYOVK_C8bQ/edit?usp=share_link"",""สุราษฎร์ธานี!N240"")"),85539)</f>
        <v>85539</v>
      </c>
      <c r="O240" s="44"/>
      <c r="P240" s="44"/>
      <c r="Q240" s="360"/>
      <c r="R240" s="360"/>
      <c r="S240" s="360"/>
      <c r="T240" s="360"/>
      <c r="U240" s="360"/>
      <c r="V240" s="360"/>
      <c r="W240" s="360"/>
      <c r="X240" s="360"/>
      <c r="Y240" s="360"/>
      <c r="Z240" s="360"/>
    </row>
    <row r="241" spans="1:26" ht="20.25" hidden="1" customHeight="1">
      <c r="A241" s="358"/>
      <c r="B241" s="356"/>
      <c r="C241" s="359"/>
      <c r="D241" s="222" t="s">
        <v>116</v>
      </c>
      <c r="E241" s="39"/>
      <c r="F241" s="39"/>
      <c r="G241" s="41"/>
      <c r="H241" s="164" t="s">
        <v>12</v>
      </c>
      <c r="I241" s="43"/>
      <c r="J241" s="43"/>
      <c r="K241" s="44"/>
      <c r="L241" s="44">
        <f ca="1">IFERROR(__xludf.DUMMYFUNCTION("IMPORTRANGE(""https://docs.google.com/spreadsheets/d/1kC41EOXpGBFOW658Fs3oD8beYlym0-zO54WY-2Qnp9I/edit?usp=share_link"",""กระบี่!L241"")
+IMPORTRANGE(""https://docs.google.com/spreadsheets/d/1FbzMZY_f3MDiEuK7RpCQKrilJ_kpX0Wm7QBZ1L7EjIU/edit?usp=share_link"&amp;""",""ชุมพร!L241"")+IMPORTRANGE(""https://docs.google.com/spreadsheets/d/1v5sN-00LrXuhBxw4dkh2GrG_z4l5oAqOdJRBCsUyMaM/edit?usp=share_link"",""ตรัง!L241"")+IMPORTRANGE(""https://docs.google.com/spreadsheets/d/1T5rRTzFc79aSIvqnzkZNvwPstq829QYz_xALlO1Z0s8/edi"&amp;"t?usp=share_link"",""นครศรีธรรมราช!L241"")+IMPORTRANGE(""https://docs.google.com/spreadsheets/d/1BeghqumK0IvCmRd2QOy6_afsZq7ZtAGrSnVJy2u7WmY/edit?usp=share_link"",""นราธิวาส!L241"")+IMPORTRANGE(""https://docs.google.com/spreadsheets/d/1IwnW3-jjRf74MCLW-6P"&amp;"iFwMUffRQXZwZA7YM609NmRc/edit?usp=share_link"",""ปัตตานี!L241"")+IMPORTRANGE(""https://docs.google.com/spreadsheets/d/1vl4QWbWdFruual5o_wdo6ZSqXZ_it806oja4CctTLKs/edit?usp=share_link"",""พังงา!L241"")+IMPORTRANGE(""https://docs.google.com/spreadsheets/d/1"&amp;"b6QssHQp2FoAPSMKHOy273KNzAomaIKhtdlvuZ_zDNE/edit?usp=share_link"",""พัทลุง!L241"")+IMPORTRANGE(""https://docs.google.com/spreadsheets/d/1o7UZe4_OqlqtLDHrj01Z2YFRSZDf1DMy1n3XViHaxRc/edit?usp=share_link"",""ภูเก็ต!L241"")+IMPORTRANGE(""https://docs.google.c"&amp;"om/spreadsheets/d/1ctPm1vUzcUCPuOj9-eoHUD85PqINFqUB0TjdSWmR5-c/edit?usp=share_link"",""ยะลา!L241"")+IMPORTRANGE(""https://docs.google.com/spreadsheets/d/1YiDIE7Klmt8osgdapRqYWNr7iPGFSsiJqq46S7PYRE0/edit?usp=share_link"",""ระนอง!L241"")+IMPORTRANGE(""https"&amp;"://docs.google.com/spreadsheets/d/16o_4B-V7AWw_6E93bSpXj_XxVv1oVQctk-B6z1dNEWU/edit?usp=share_link"",""สงขลา!L241"")+IMPORTRANGE(""https://docs.google.com/spreadsheets/d/16cywr71Fj4fA5OGRHsZh30ZG2gwJhMAQv69oVBzYHv0/edit?usp=share_link"",""สตูล!L241"")+IMP"&amp;"ORTRANGE(""https://docs.google.com/spreadsheets/d/1vO9Sws6kMtrVtyvrAJptINXjK8TFBoX9xLYOVK_C8bQ/edit?usp=share_link"",""สุราษฎร์ธานี!L241"")"),0)</f>
        <v>0</v>
      </c>
      <c r="M241" s="44"/>
      <c r="N241" s="357">
        <f ca="1">IFERROR(__xludf.DUMMYFUNCTION("IMPORTRANGE(""https://docs.google.com/spreadsheets/d/1kC41EOXpGBFOW658Fs3oD8beYlym0-zO54WY-2Qnp9I/edit?usp=share_link"",""กระบี่!N241"")
+IMPORTRANGE(""https://docs.google.com/spreadsheets/d/1FbzMZY_f3MDiEuK7RpCQKrilJ_kpX0Wm7QBZ1L7EjIU/edit?usp=share_link"&amp;""",""ชุมพร!N241"")+IMPORTRANGE(""https://docs.google.com/spreadsheets/d/1v5sN-00LrXuhBxw4dkh2GrG_z4l5oAqOdJRBCsUyMaM/edit?usp=share_link"",""ตรัง!N241"")+IMPORTRANGE(""https://docs.google.com/spreadsheets/d/1T5rRTzFc79aSIvqnzkZNvwPstq829QYz_xALlO1Z0s8/edi"&amp;"t?usp=share_link"",""นครศรีธรรมราช!N241"")+IMPORTRANGE(""https://docs.google.com/spreadsheets/d/1BeghqumK0IvCmRd2QOy6_afsZq7ZtAGrSnVJy2u7WmY/edit?usp=share_link"",""นราธิวาส!N241"")+IMPORTRANGE(""https://docs.google.com/spreadsheets/d/1IwnW3-jjRf74MCLW-6P"&amp;"iFwMUffRQXZwZA7YM609NmRc/edit?usp=share_link"",""ปัตตานี!N241"")+IMPORTRANGE(""https://docs.google.com/spreadsheets/d/1vl4QWbWdFruual5o_wdo6ZSqXZ_it806oja4CctTLKs/edit?usp=share_link"",""พังงา!N241"")+IMPORTRANGE(""https://docs.google.com/spreadsheets/d/1"&amp;"b6QssHQp2FoAPSMKHOy273KNzAomaIKhtdlvuZ_zDNE/edit?usp=share_link"",""พัทลุง!N241"")+IMPORTRANGE(""https://docs.google.com/spreadsheets/d/1o7UZe4_OqlqtLDHrj01Z2YFRSZDf1DMy1n3XViHaxRc/edit?usp=share_link"",""ภูเก็ต!N241"")+IMPORTRANGE(""https://docs.google.c"&amp;"om/spreadsheets/d/1ctPm1vUzcUCPuOj9-eoHUD85PqINFqUB0TjdSWmR5-c/edit?usp=share_link"",""ยะลา!N241"")+IMPORTRANGE(""https://docs.google.com/spreadsheets/d/1YiDIE7Klmt8osgdapRqYWNr7iPGFSsiJqq46S7PYRE0/edit?usp=share_link"",""ระนอง!N241"")+IMPORTRANGE(""https"&amp;"://docs.google.com/spreadsheets/d/16o_4B-V7AWw_6E93bSpXj_XxVv1oVQctk-B6z1dNEWU/edit?usp=share_link"",""สงขลา!N241"")+IMPORTRANGE(""https://docs.google.com/spreadsheets/d/16cywr71Fj4fA5OGRHsZh30ZG2gwJhMAQv69oVBzYHv0/edit?usp=share_link"",""สตูล!N241"")+IMP"&amp;"ORTRANGE(""https://docs.google.com/spreadsheets/d/1vO9Sws6kMtrVtyvrAJptINXjK8TFBoX9xLYOVK_C8bQ/edit?usp=share_link"",""สุราษฎร์ธานี!N241"")"),0)</f>
        <v>0</v>
      </c>
      <c r="O241" s="44"/>
      <c r="P241" s="44"/>
      <c r="Q241" s="360"/>
      <c r="R241" s="360"/>
      <c r="S241" s="360"/>
      <c r="T241" s="360"/>
      <c r="U241" s="360"/>
      <c r="V241" s="360"/>
      <c r="W241" s="360"/>
      <c r="X241" s="360"/>
      <c r="Y241" s="360"/>
      <c r="Z241" s="360"/>
    </row>
    <row r="242" spans="1:26" ht="20.25" hidden="1" customHeight="1">
      <c r="A242" s="358"/>
      <c r="B242" s="356"/>
      <c r="C242" s="359"/>
      <c r="D242" s="222" t="s">
        <v>100</v>
      </c>
      <c r="E242" s="39"/>
      <c r="F242" s="39"/>
      <c r="G242" s="41"/>
      <c r="H242" s="164" t="s">
        <v>12</v>
      </c>
      <c r="I242" s="43"/>
      <c r="J242" s="43"/>
      <c r="K242" s="44"/>
      <c r="L242" s="44">
        <f ca="1">IFERROR(__xludf.DUMMYFUNCTION("IMPORTRANGE(""https://docs.google.com/spreadsheets/d/1kC41EOXpGBFOW658Fs3oD8beYlym0-zO54WY-2Qnp9I/edit?usp=share_link"",""กระบี่!L242"")
+IMPORTRANGE(""https://docs.google.com/spreadsheets/d/1FbzMZY_f3MDiEuK7RpCQKrilJ_kpX0Wm7QBZ1L7EjIU/edit?usp=share_link"&amp;""",""ชุมพร!L242"")+IMPORTRANGE(""https://docs.google.com/spreadsheets/d/1v5sN-00LrXuhBxw4dkh2GrG_z4l5oAqOdJRBCsUyMaM/edit?usp=share_link"",""ตรัง!L242"")+IMPORTRANGE(""https://docs.google.com/spreadsheets/d/1T5rRTzFc79aSIvqnzkZNvwPstq829QYz_xALlO1Z0s8/edi"&amp;"t?usp=share_link"",""นครศรีธรรมราช!L242"")+IMPORTRANGE(""https://docs.google.com/spreadsheets/d/1BeghqumK0IvCmRd2QOy6_afsZq7ZtAGrSnVJy2u7WmY/edit?usp=share_link"",""นราธิวาส!L242"")+IMPORTRANGE(""https://docs.google.com/spreadsheets/d/1IwnW3-jjRf74MCLW-6P"&amp;"iFwMUffRQXZwZA7YM609NmRc/edit?usp=share_link"",""ปัตตานี!L242"")+IMPORTRANGE(""https://docs.google.com/spreadsheets/d/1vl4QWbWdFruual5o_wdo6ZSqXZ_it806oja4CctTLKs/edit?usp=share_link"",""พังงา!L242"")+IMPORTRANGE(""https://docs.google.com/spreadsheets/d/1"&amp;"b6QssHQp2FoAPSMKHOy273KNzAomaIKhtdlvuZ_zDNE/edit?usp=share_link"",""พัทลุง!L242"")+IMPORTRANGE(""https://docs.google.com/spreadsheets/d/1o7UZe4_OqlqtLDHrj01Z2YFRSZDf1DMy1n3XViHaxRc/edit?usp=share_link"",""ภูเก็ต!L242"")+IMPORTRANGE(""https://docs.google.c"&amp;"om/spreadsheets/d/1ctPm1vUzcUCPuOj9-eoHUD85PqINFqUB0TjdSWmR5-c/edit?usp=share_link"",""ยะลา!L242"")+IMPORTRANGE(""https://docs.google.com/spreadsheets/d/1YiDIE7Klmt8osgdapRqYWNr7iPGFSsiJqq46S7PYRE0/edit?usp=share_link"",""ระนอง!L242"")+IMPORTRANGE(""https"&amp;"://docs.google.com/spreadsheets/d/16o_4B-V7AWw_6E93bSpXj_XxVv1oVQctk-B6z1dNEWU/edit?usp=share_link"",""สงขลา!L242"")+IMPORTRANGE(""https://docs.google.com/spreadsheets/d/16cywr71Fj4fA5OGRHsZh30ZG2gwJhMAQv69oVBzYHv0/edit?usp=share_link"",""สตูล!L242"")+IMP"&amp;"ORTRANGE(""https://docs.google.com/spreadsheets/d/1vO9Sws6kMtrVtyvrAJptINXjK8TFBoX9xLYOVK_C8bQ/edit?usp=share_link"",""สุราษฎร์ธานี!L242"")"),40000)</f>
        <v>40000</v>
      </c>
      <c r="M242" s="44"/>
      <c r="N242" s="357">
        <f ca="1">IFERROR(__xludf.DUMMYFUNCTION("IMPORTRANGE(""https://docs.google.com/spreadsheets/d/1kC41EOXpGBFOW658Fs3oD8beYlym0-zO54WY-2Qnp9I/edit?usp=share_link"",""กระบี่!N242"")
+IMPORTRANGE(""https://docs.google.com/spreadsheets/d/1FbzMZY_f3MDiEuK7RpCQKrilJ_kpX0Wm7QBZ1L7EjIU/edit?usp=share_link"&amp;""",""ชุมพร!N242"")+IMPORTRANGE(""https://docs.google.com/spreadsheets/d/1v5sN-00LrXuhBxw4dkh2GrG_z4l5oAqOdJRBCsUyMaM/edit?usp=share_link"",""ตรัง!N242"")+IMPORTRANGE(""https://docs.google.com/spreadsheets/d/1T5rRTzFc79aSIvqnzkZNvwPstq829QYz_xALlO1Z0s8/edi"&amp;"t?usp=share_link"",""นครศรีธรรมราช!N242"")+IMPORTRANGE(""https://docs.google.com/spreadsheets/d/1BeghqumK0IvCmRd2QOy6_afsZq7ZtAGrSnVJy2u7WmY/edit?usp=share_link"",""นราธิวาส!N242"")+IMPORTRANGE(""https://docs.google.com/spreadsheets/d/1IwnW3-jjRf74MCLW-6P"&amp;"iFwMUffRQXZwZA7YM609NmRc/edit?usp=share_link"",""ปัตตานี!N242"")+IMPORTRANGE(""https://docs.google.com/spreadsheets/d/1vl4QWbWdFruual5o_wdo6ZSqXZ_it806oja4CctTLKs/edit?usp=share_link"",""พังงา!N242"")+IMPORTRANGE(""https://docs.google.com/spreadsheets/d/1"&amp;"b6QssHQp2FoAPSMKHOy273KNzAomaIKhtdlvuZ_zDNE/edit?usp=share_link"",""พัทลุง!N242"")+IMPORTRANGE(""https://docs.google.com/spreadsheets/d/1o7UZe4_OqlqtLDHrj01Z2YFRSZDf1DMy1n3XViHaxRc/edit?usp=share_link"",""ภูเก็ต!N242"")+IMPORTRANGE(""https://docs.google.c"&amp;"om/spreadsheets/d/1ctPm1vUzcUCPuOj9-eoHUD85PqINFqUB0TjdSWmR5-c/edit?usp=share_link"",""ยะลา!N242"")+IMPORTRANGE(""https://docs.google.com/spreadsheets/d/1YiDIE7Klmt8osgdapRqYWNr7iPGFSsiJqq46S7PYRE0/edit?usp=share_link"",""ระนอง!N242"")+IMPORTRANGE(""https"&amp;"://docs.google.com/spreadsheets/d/16o_4B-V7AWw_6E93bSpXj_XxVv1oVQctk-B6z1dNEWU/edit?usp=share_link"",""สงขลา!N242"")+IMPORTRANGE(""https://docs.google.com/spreadsheets/d/16cywr71Fj4fA5OGRHsZh30ZG2gwJhMAQv69oVBzYHv0/edit?usp=share_link"",""สตูล!N242"")+IMP"&amp;"ORTRANGE(""https://docs.google.com/spreadsheets/d/1vO9Sws6kMtrVtyvrAJptINXjK8TFBoX9xLYOVK_C8bQ/edit?usp=share_link"",""สุราษฎร์ธานี!N242"")"),40510)</f>
        <v>40510</v>
      </c>
      <c r="O242" s="44"/>
      <c r="P242" s="44"/>
      <c r="Q242" s="360"/>
      <c r="R242" s="360"/>
      <c r="S242" s="360"/>
      <c r="T242" s="360"/>
      <c r="U242" s="360"/>
      <c r="V242" s="360"/>
      <c r="W242" s="360"/>
      <c r="X242" s="360"/>
      <c r="Y242" s="360"/>
      <c r="Z242" s="360"/>
    </row>
    <row r="243" spans="1:26" ht="20.25" hidden="1" customHeight="1">
      <c r="A243" s="361"/>
      <c r="B243" s="362"/>
      <c r="C243" s="359" t="s">
        <v>16</v>
      </c>
      <c r="D243" s="266" t="s">
        <v>38</v>
      </c>
      <c r="E243" s="363"/>
      <c r="F243" s="363"/>
      <c r="G243" s="364"/>
      <c r="H243" s="365"/>
      <c r="I243" s="165"/>
      <c r="J243" s="43"/>
      <c r="K243" s="44"/>
      <c r="L243" s="44"/>
      <c r="M243" s="44"/>
      <c r="N243" s="44"/>
      <c r="O243" s="166"/>
      <c r="P243" s="166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0.25" hidden="1" customHeight="1">
      <c r="A244" s="361"/>
      <c r="B244" s="362"/>
      <c r="C244" s="362"/>
      <c r="D244" s="366" t="s">
        <v>117</v>
      </c>
      <c r="E244" s="367"/>
      <c r="F244" s="367"/>
      <c r="G244" s="368"/>
      <c r="H244" s="369" t="s">
        <v>35</v>
      </c>
      <c r="I244" s="43">
        <f ca="1">IFERROR(__xludf.DUMMYFUNCTION("IMPORTRANGE(""https://docs.google.com/spreadsheets/d/1kC41EOXpGBFOW658Fs3oD8beYlym0-zO54WY-2Qnp9I/edit?usp=share_link"",""กระบี่!I244"")
+IMPORTRANGE(""https://docs.google.com/spreadsheets/d/1FbzMZY_f3MDiEuK7RpCQKrilJ_kpX0Wm7QBZ1L7EjIU/edit?usp=share_link"&amp;""",""ชุมพร!I244"")+IMPORTRANGE(""https://docs.google.com/spreadsheets/d/1v5sN-00LrXuhBxw4dkh2GrG_z4l5oAqOdJRBCsUyMaM/edit?usp=share_link"",""ตรัง!I244"")+IMPORTRANGE(""https://docs.google.com/spreadsheets/d/1T5rRTzFc79aSIvqnzkZNvwPstq829QYz_xALlO1Z0s8/edi"&amp;"t?usp=share_link"",""นครศรีธรรมราช!I244"")+IMPORTRANGE(""https://docs.google.com/spreadsheets/d/1BeghqumK0IvCmRd2QOy6_afsZq7ZtAGrSnVJy2u7WmY/edit?usp=share_link"",""นราธิวาส!I244"")+IMPORTRANGE(""https://docs.google.com/spreadsheets/d/1IwnW3-jjRf74MCLW-6P"&amp;"iFwMUffRQXZwZA7YM609NmRc/edit?usp=share_link"",""ปัตตานี!I244"")+IMPORTRANGE(""https://docs.google.com/spreadsheets/d/1vl4QWbWdFruual5o_wdo6ZSqXZ_it806oja4CctTLKs/edit?usp=share_link"",""พังงา!I244"")+IMPORTRANGE(""https://docs.google.com/spreadsheets/d/1"&amp;"b6QssHQp2FoAPSMKHOy273KNzAomaIKhtdlvuZ_zDNE/edit?usp=share_link"",""พัทลุง!I244"")+IMPORTRANGE(""https://docs.google.com/spreadsheets/d/1o7UZe4_OqlqtLDHrj01Z2YFRSZDf1DMy1n3XViHaxRc/edit?usp=share_link"",""ภูเก็ต!I244"")+IMPORTRANGE(""https://docs.google.c"&amp;"om/spreadsheets/d/1ctPm1vUzcUCPuOj9-eoHUD85PqINFqUB0TjdSWmR5-c/edit?usp=share_link"",""ยะลา!I244"")+IMPORTRANGE(""https://docs.google.com/spreadsheets/d/1YiDIE7Klmt8osgdapRqYWNr7iPGFSsiJqq46S7PYRE0/edit?usp=share_link"",""ระนอง!I244"")+IMPORTRANGE(""https"&amp;"://docs.google.com/spreadsheets/d/16o_4B-V7AWw_6E93bSpXj_XxVv1oVQctk-B6z1dNEWU/edit?usp=share_link"",""สงขลา!I244"")+IMPORTRANGE(""https://docs.google.com/spreadsheets/d/16cywr71Fj4fA5OGRHsZh30ZG2gwJhMAQv69oVBzYHv0/edit?usp=share_link"",""สตูล!I244"")+IMP"&amp;"ORTRANGE(""https://docs.google.com/spreadsheets/d/1vO9Sws6kMtrVtyvrAJptINXjK8TFBoX9xLYOVK_C8bQ/edit?usp=share_link"",""สุราษฎร์ธานี!I244"")"),100)</f>
        <v>100</v>
      </c>
      <c r="J244" s="370">
        <f ca="1">IFERROR(__xludf.DUMMYFUNCTION("IMPORTRANGE(""https://docs.google.com/spreadsheets/d/1kC41EOXpGBFOW658Fs3oD8beYlym0-zO54WY-2Qnp9I/edit?usp=share_link"",""กระบี่!J244"")
+IMPORTRANGE(""https://docs.google.com/spreadsheets/d/1FbzMZY_f3MDiEuK7RpCQKrilJ_kpX0Wm7QBZ1L7EjIU/edit?usp=share_link"&amp;""",""ชุมพร!J244"")+IMPORTRANGE(""https://docs.google.com/spreadsheets/d/1v5sN-00LrXuhBxw4dkh2GrG_z4l5oAqOdJRBCsUyMaM/edit?usp=share_link"",""ตรัง!J244"")+IMPORTRANGE(""https://docs.google.com/spreadsheets/d/1T5rRTzFc79aSIvqnzkZNvwPstq829QYz_xALlO1Z0s8/edi"&amp;"t?usp=share_link"",""นครศรีธรรมราช!J244"")+IMPORTRANGE(""https://docs.google.com/spreadsheets/d/1BeghqumK0IvCmRd2QOy6_afsZq7ZtAGrSnVJy2u7WmY/edit?usp=share_link"",""นราธิวาส!J244"")+IMPORTRANGE(""https://docs.google.com/spreadsheets/d/1IwnW3-jjRf74MCLW-6P"&amp;"iFwMUffRQXZwZA7YM609NmRc/edit?usp=share_link"",""ปัตตานี!J244"")+IMPORTRANGE(""https://docs.google.com/spreadsheets/d/1vl4QWbWdFruual5o_wdo6ZSqXZ_it806oja4CctTLKs/edit?usp=share_link"",""พังงา!J244"")+IMPORTRANGE(""https://docs.google.com/spreadsheets/d/1"&amp;"b6QssHQp2FoAPSMKHOy273KNzAomaIKhtdlvuZ_zDNE/edit?usp=share_link"",""พัทลุง!J244"")+IMPORTRANGE(""https://docs.google.com/spreadsheets/d/1o7UZe4_OqlqtLDHrj01Z2YFRSZDf1DMy1n3XViHaxRc/edit?usp=share_link"",""ภูเก็ต!J244"")+IMPORTRANGE(""https://docs.google.c"&amp;"om/spreadsheets/d/1ctPm1vUzcUCPuOj9-eoHUD85PqINFqUB0TjdSWmR5-c/edit?usp=share_link"",""ยะลา!J244"")+IMPORTRANGE(""https://docs.google.com/spreadsheets/d/1YiDIE7Klmt8osgdapRqYWNr7iPGFSsiJqq46S7PYRE0/edit?usp=share_link"",""ระนอง!J244"")+IMPORTRANGE(""https"&amp;"://docs.google.com/spreadsheets/d/16o_4B-V7AWw_6E93bSpXj_XxVv1oVQctk-B6z1dNEWU/edit?usp=share_link"",""สงขลา!J244"")+IMPORTRANGE(""https://docs.google.com/spreadsheets/d/16cywr71Fj4fA5OGRHsZh30ZG2gwJhMAQv69oVBzYHv0/edit?usp=share_link"",""สตูล!J244"")+IMP"&amp;"ORTRANGE(""https://docs.google.com/spreadsheets/d/1vO9Sws6kMtrVtyvrAJptINXjK8TFBoX9xLYOVK_C8bQ/edit?usp=share_link"",""สุราษฎร์ธานี!J244"")"),110)</f>
        <v>110</v>
      </c>
      <c r="K244" s="44">
        <f ca="1">IF(I244&gt;0,J244*100/I244,0)</f>
        <v>110</v>
      </c>
      <c r="L244" s="44"/>
      <c r="M244" s="44"/>
      <c r="N244" s="44"/>
      <c r="O244" s="44"/>
      <c r="P244" s="44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0.25" hidden="1" customHeight="1">
      <c r="A245" s="361"/>
      <c r="B245" s="362"/>
      <c r="C245" s="362"/>
      <c r="D245" s="371" t="s">
        <v>43</v>
      </c>
      <c r="E245" s="372"/>
      <c r="F245" s="367"/>
      <c r="G245" s="368"/>
      <c r="H245" s="369"/>
      <c r="I245" s="43"/>
      <c r="J245" s="43"/>
      <c r="K245" s="44"/>
      <c r="L245" s="44"/>
      <c r="M245" s="44"/>
      <c r="N245" s="44"/>
      <c r="O245" s="166"/>
      <c r="P245" s="166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0.25" hidden="1" customHeight="1">
      <c r="A246" s="361"/>
      <c r="B246" s="362"/>
      <c r="C246" s="362"/>
      <c r="D246" s="362"/>
      <c r="E246" s="373" t="s">
        <v>118</v>
      </c>
      <c r="F246" s="367"/>
      <c r="G246" s="368"/>
      <c r="H246" s="369" t="s">
        <v>35</v>
      </c>
      <c r="I246" s="43">
        <f ca="1">IFERROR(__xludf.DUMMYFUNCTION("IMPORTRANGE(""https://docs.google.com/spreadsheets/d/1kC41EOXpGBFOW658Fs3oD8beYlym0-zO54WY-2Qnp9I/edit?usp=share_link"",""กระบี่!I246"")
+IMPORTRANGE(""https://docs.google.com/spreadsheets/d/1FbzMZY_f3MDiEuK7RpCQKrilJ_kpX0Wm7QBZ1L7EjIU/edit?usp=share_link"&amp;""",""ชุมพร!I246"")+IMPORTRANGE(""https://docs.google.com/spreadsheets/d/1v5sN-00LrXuhBxw4dkh2GrG_z4l5oAqOdJRBCsUyMaM/edit?usp=share_link"",""ตรัง!I246"")+IMPORTRANGE(""https://docs.google.com/spreadsheets/d/1T5rRTzFc79aSIvqnzkZNvwPstq829QYz_xALlO1Z0s8/edi"&amp;"t?usp=share_link"",""นครศรีธรรมราช!I246"")+IMPORTRANGE(""https://docs.google.com/spreadsheets/d/1BeghqumK0IvCmRd2QOy6_afsZq7ZtAGrSnVJy2u7WmY/edit?usp=share_link"",""นราธิวาส!I246"")+IMPORTRANGE(""https://docs.google.com/spreadsheets/d/1IwnW3-jjRf74MCLW-6P"&amp;"iFwMUffRQXZwZA7YM609NmRc/edit?usp=share_link"",""ปัตตานี!I246"")+IMPORTRANGE(""https://docs.google.com/spreadsheets/d/1vl4QWbWdFruual5o_wdo6ZSqXZ_it806oja4CctTLKs/edit?usp=share_link"",""พังงา!I246"")+IMPORTRANGE(""https://docs.google.com/spreadsheets/d/1"&amp;"b6QssHQp2FoAPSMKHOy273KNzAomaIKhtdlvuZ_zDNE/edit?usp=share_link"",""พัทลุง!I246"")+IMPORTRANGE(""https://docs.google.com/spreadsheets/d/1o7UZe4_OqlqtLDHrj01Z2YFRSZDf1DMy1n3XViHaxRc/edit?usp=share_link"",""ภูเก็ต!I246"")+IMPORTRANGE(""https://docs.google.c"&amp;"om/spreadsheets/d/1ctPm1vUzcUCPuOj9-eoHUD85PqINFqUB0TjdSWmR5-c/edit?usp=share_link"",""ยะลา!I246"")+IMPORTRANGE(""https://docs.google.com/spreadsheets/d/1YiDIE7Klmt8osgdapRqYWNr7iPGFSsiJqq46S7PYRE0/edit?usp=share_link"",""ระนอง!I246"")+IMPORTRANGE(""https"&amp;"://docs.google.com/spreadsheets/d/16o_4B-V7AWw_6E93bSpXj_XxVv1oVQctk-B6z1dNEWU/edit?usp=share_link"",""สงขลา!I246"")+IMPORTRANGE(""https://docs.google.com/spreadsheets/d/16cywr71Fj4fA5OGRHsZh30ZG2gwJhMAQv69oVBzYHv0/edit?usp=share_link"",""สตูล!I246"")+IMP"&amp;"ORTRANGE(""https://docs.google.com/spreadsheets/d/1vO9Sws6kMtrVtyvrAJptINXjK8TFBoX9xLYOVK_C8bQ/edit?usp=share_link"",""สุราษฎร์ธานี!I246"")"),0)</f>
        <v>0</v>
      </c>
      <c r="J246" s="370">
        <f ca="1">IFERROR(__xludf.DUMMYFUNCTION("IMPORTRANGE(""https://docs.google.com/spreadsheets/d/1kC41EOXpGBFOW658Fs3oD8beYlym0-zO54WY-2Qnp9I/edit?usp=share_link"",""กระบี่!J246"")
+IMPORTRANGE(""https://docs.google.com/spreadsheets/d/1FbzMZY_f3MDiEuK7RpCQKrilJ_kpX0Wm7QBZ1L7EjIU/edit?usp=share_link"&amp;""",""ชุมพร!J246"")+IMPORTRANGE(""https://docs.google.com/spreadsheets/d/1v5sN-00LrXuhBxw4dkh2GrG_z4l5oAqOdJRBCsUyMaM/edit?usp=share_link"",""ตรัง!J246"")+IMPORTRANGE(""https://docs.google.com/spreadsheets/d/1T5rRTzFc79aSIvqnzkZNvwPstq829QYz_xALlO1Z0s8/edi"&amp;"t?usp=share_link"",""นครศรีธรรมราช!J246"")+IMPORTRANGE(""https://docs.google.com/spreadsheets/d/1BeghqumK0IvCmRd2QOy6_afsZq7ZtAGrSnVJy2u7WmY/edit?usp=share_link"",""นราธิวาส!J246"")+IMPORTRANGE(""https://docs.google.com/spreadsheets/d/1IwnW3-jjRf74MCLW-6P"&amp;"iFwMUffRQXZwZA7YM609NmRc/edit?usp=share_link"",""ปัตตานี!J246"")+IMPORTRANGE(""https://docs.google.com/spreadsheets/d/1vl4QWbWdFruual5o_wdo6ZSqXZ_it806oja4CctTLKs/edit?usp=share_link"",""พังงา!J246"")+IMPORTRANGE(""https://docs.google.com/spreadsheets/d/1"&amp;"b6QssHQp2FoAPSMKHOy273KNzAomaIKhtdlvuZ_zDNE/edit?usp=share_link"",""พัทลุง!J246"")+IMPORTRANGE(""https://docs.google.com/spreadsheets/d/1o7UZe4_OqlqtLDHrj01Z2YFRSZDf1DMy1n3XViHaxRc/edit?usp=share_link"",""ภูเก็ต!J246"")+IMPORTRANGE(""https://docs.google.c"&amp;"om/spreadsheets/d/1ctPm1vUzcUCPuOj9-eoHUD85PqINFqUB0TjdSWmR5-c/edit?usp=share_link"",""ยะลา!J246"")+IMPORTRANGE(""https://docs.google.com/spreadsheets/d/1YiDIE7Klmt8osgdapRqYWNr7iPGFSsiJqq46S7PYRE0/edit?usp=share_link"",""ระนอง!J246"")+IMPORTRANGE(""https"&amp;"://docs.google.com/spreadsheets/d/16o_4B-V7AWw_6E93bSpXj_XxVv1oVQctk-B6z1dNEWU/edit?usp=share_link"",""สงขลา!J246"")+IMPORTRANGE(""https://docs.google.com/spreadsheets/d/16cywr71Fj4fA5OGRHsZh30ZG2gwJhMAQv69oVBzYHv0/edit?usp=share_link"",""สตูล!J246"")+IMP"&amp;"ORTRANGE(""https://docs.google.com/spreadsheets/d/1vO9Sws6kMtrVtyvrAJptINXjK8TFBoX9xLYOVK_C8bQ/edit?usp=share_link"",""สุราษฎร์ธานี!J246"")"),0)</f>
        <v>0</v>
      </c>
      <c r="K246" s="44">
        <f t="shared" ref="K246:K248" ca="1" si="133">IF(I246&gt;0,J246*100/I246,0)</f>
        <v>0</v>
      </c>
      <c r="L246" s="44"/>
      <c r="M246" s="44"/>
      <c r="N246" s="44"/>
      <c r="O246" s="44"/>
      <c r="P246" s="44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0.25" hidden="1" customHeight="1">
      <c r="A247" s="361"/>
      <c r="B247" s="362"/>
      <c r="C247" s="362"/>
      <c r="D247" s="362"/>
      <c r="E247" s="267" t="s">
        <v>119</v>
      </c>
      <c r="F247" s="367"/>
      <c r="G247" s="368"/>
      <c r="H247" s="369" t="s">
        <v>66</v>
      </c>
      <c r="I247" s="43">
        <f ca="1">IFERROR(__xludf.DUMMYFUNCTION("IMPORTRANGE(""https://docs.google.com/spreadsheets/d/1kC41EOXpGBFOW658Fs3oD8beYlym0-zO54WY-2Qnp9I/edit?usp=share_link"",""กระบี่!I247"")
+IMPORTRANGE(""https://docs.google.com/spreadsheets/d/1FbzMZY_f3MDiEuK7RpCQKrilJ_kpX0Wm7QBZ1L7EjIU/edit?usp=share_link"&amp;""",""ชุมพร!I247"")+IMPORTRANGE(""https://docs.google.com/spreadsheets/d/1v5sN-00LrXuhBxw4dkh2GrG_z4l5oAqOdJRBCsUyMaM/edit?usp=share_link"",""ตรัง!I247"")+IMPORTRANGE(""https://docs.google.com/spreadsheets/d/1T5rRTzFc79aSIvqnzkZNvwPstq829QYz_xALlO1Z0s8/edi"&amp;"t?usp=share_link"",""นครศรีธรรมราช!I247"")+IMPORTRANGE(""https://docs.google.com/spreadsheets/d/1BeghqumK0IvCmRd2QOy6_afsZq7ZtAGrSnVJy2u7WmY/edit?usp=share_link"",""นราธิวาส!I247"")+IMPORTRANGE(""https://docs.google.com/spreadsheets/d/1IwnW3-jjRf74MCLW-6P"&amp;"iFwMUffRQXZwZA7YM609NmRc/edit?usp=share_link"",""ปัตตานี!I247"")+IMPORTRANGE(""https://docs.google.com/spreadsheets/d/1vl4QWbWdFruual5o_wdo6ZSqXZ_it806oja4CctTLKs/edit?usp=share_link"",""พังงา!I247"")+IMPORTRANGE(""https://docs.google.com/spreadsheets/d/1"&amp;"b6QssHQp2FoAPSMKHOy273KNzAomaIKhtdlvuZ_zDNE/edit?usp=share_link"",""พัทลุง!I247"")+IMPORTRANGE(""https://docs.google.com/spreadsheets/d/1o7UZe4_OqlqtLDHrj01Z2YFRSZDf1DMy1n3XViHaxRc/edit?usp=share_link"",""ภูเก็ต!I247"")+IMPORTRANGE(""https://docs.google.c"&amp;"om/spreadsheets/d/1ctPm1vUzcUCPuOj9-eoHUD85PqINFqUB0TjdSWmR5-c/edit?usp=share_link"",""ยะลา!I247"")+IMPORTRANGE(""https://docs.google.com/spreadsheets/d/1YiDIE7Klmt8osgdapRqYWNr7iPGFSsiJqq46S7PYRE0/edit?usp=share_link"",""ระนอง!I247"")+IMPORTRANGE(""https"&amp;"://docs.google.com/spreadsheets/d/16o_4B-V7AWw_6E93bSpXj_XxVv1oVQctk-B6z1dNEWU/edit?usp=share_link"",""สงขลา!I247"")+IMPORTRANGE(""https://docs.google.com/spreadsheets/d/16cywr71Fj4fA5OGRHsZh30ZG2gwJhMAQv69oVBzYHv0/edit?usp=share_link"",""สตูล!I247"")+IMP"&amp;"ORTRANGE(""https://docs.google.com/spreadsheets/d/1vO9Sws6kMtrVtyvrAJptINXjK8TFBoX9xLYOVK_C8bQ/edit?usp=share_link"",""สุราษฎร์ธานี!I247"")"),4)</f>
        <v>4</v>
      </c>
      <c r="J247" s="370">
        <f ca="1">IFERROR(__xludf.DUMMYFUNCTION("IMPORTRANGE(""https://docs.google.com/spreadsheets/d/1kC41EOXpGBFOW658Fs3oD8beYlym0-zO54WY-2Qnp9I/edit?usp=share_link"",""กระบี่!J247"")
+IMPORTRANGE(""https://docs.google.com/spreadsheets/d/1FbzMZY_f3MDiEuK7RpCQKrilJ_kpX0Wm7QBZ1L7EjIU/edit?usp=share_link"&amp;""",""ชุมพร!J247"")+IMPORTRANGE(""https://docs.google.com/spreadsheets/d/1v5sN-00LrXuhBxw4dkh2GrG_z4l5oAqOdJRBCsUyMaM/edit?usp=share_link"",""ตรัง!J247"")+IMPORTRANGE(""https://docs.google.com/spreadsheets/d/1T5rRTzFc79aSIvqnzkZNvwPstq829QYz_xALlO1Z0s8/edi"&amp;"t?usp=share_link"",""นครศรีธรรมราช!J247"")+IMPORTRANGE(""https://docs.google.com/spreadsheets/d/1BeghqumK0IvCmRd2QOy6_afsZq7ZtAGrSnVJy2u7WmY/edit?usp=share_link"",""นราธิวาส!J247"")+IMPORTRANGE(""https://docs.google.com/spreadsheets/d/1IwnW3-jjRf74MCLW-6P"&amp;"iFwMUffRQXZwZA7YM609NmRc/edit?usp=share_link"",""ปัตตานี!J247"")+IMPORTRANGE(""https://docs.google.com/spreadsheets/d/1vl4QWbWdFruual5o_wdo6ZSqXZ_it806oja4CctTLKs/edit?usp=share_link"",""พังงา!J247"")+IMPORTRANGE(""https://docs.google.com/spreadsheets/d/1"&amp;"b6QssHQp2FoAPSMKHOy273KNzAomaIKhtdlvuZ_zDNE/edit?usp=share_link"",""พัทลุง!J247"")+IMPORTRANGE(""https://docs.google.com/spreadsheets/d/1o7UZe4_OqlqtLDHrj01Z2YFRSZDf1DMy1n3XViHaxRc/edit?usp=share_link"",""ภูเก็ต!J247"")+IMPORTRANGE(""https://docs.google.c"&amp;"om/spreadsheets/d/1ctPm1vUzcUCPuOj9-eoHUD85PqINFqUB0TjdSWmR5-c/edit?usp=share_link"",""ยะลา!J247"")+IMPORTRANGE(""https://docs.google.com/spreadsheets/d/1YiDIE7Klmt8osgdapRqYWNr7iPGFSsiJqq46S7PYRE0/edit?usp=share_link"",""ระนอง!J247"")+IMPORTRANGE(""https"&amp;"://docs.google.com/spreadsheets/d/16o_4B-V7AWw_6E93bSpXj_XxVv1oVQctk-B6z1dNEWU/edit?usp=share_link"",""สงขลา!J247"")+IMPORTRANGE(""https://docs.google.com/spreadsheets/d/16cywr71Fj4fA5OGRHsZh30ZG2gwJhMAQv69oVBzYHv0/edit?usp=share_link"",""สตูล!J247"")+IMP"&amp;"ORTRANGE(""https://docs.google.com/spreadsheets/d/1vO9Sws6kMtrVtyvrAJptINXjK8TFBoX9xLYOVK_C8bQ/edit?usp=share_link"",""สุราษฎร์ธานี!J247"")"),4)</f>
        <v>4</v>
      </c>
      <c r="K247" s="44">
        <f t="shared" ca="1" si="133"/>
        <v>100</v>
      </c>
      <c r="L247" s="44"/>
      <c r="M247" s="44"/>
      <c r="N247" s="44"/>
      <c r="O247" s="44"/>
      <c r="P247" s="44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0.25" hidden="1" customHeight="1">
      <c r="A248" s="339"/>
      <c r="B248" s="340"/>
      <c r="C248" s="341" t="s">
        <v>121</v>
      </c>
      <c r="D248" s="342"/>
      <c r="E248" s="342"/>
      <c r="F248" s="342"/>
      <c r="G248" s="343"/>
      <c r="H248" s="265" t="s">
        <v>35</v>
      </c>
      <c r="I248" s="344">
        <f t="shared" ref="I248:J248" ca="1" si="134">I255</f>
        <v>0</v>
      </c>
      <c r="J248" s="344">
        <f t="shared" ca="1" si="134"/>
        <v>0</v>
      </c>
      <c r="K248" s="345">
        <f t="shared" ca="1" si="133"/>
        <v>0</v>
      </c>
      <c r="L248" s="346"/>
      <c r="M248" s="346"/>
      <c r="N248" s="346"/>
      <c r="O248" s="346"/>
      <c r="P248" s="346"/>
      <c r="Q248" s="224"/>
      <c r="R248" s="224"/>
      <c r="S248" s="224"/>
      <c r="T248" s="224"/>
      <c r="U248" s="224"/>
      <c r="V248" s="224"/>
      <c r="W248" s="224"/>
      <c r="X248" s="224"/>
      <c r="Y248" s="224"/>
      <c r="Z248" s="224"/>
    </row>
    <row r="249" spans="1:26" ht="20.25" hidden="1" customHeight="1">
      <c r="A249" s="347"/>
      <c r="B249" s="348"/>
      <c r="C249" s="349" t="s">
        <v>16</v>
      </c>
      <c r="D249" s="374" t="s">
        <v>17</v>
      </c>
      <c r="E249" s="348"/>
      <c r="F249" s="348"/>
      <c r="G249" s="351"/>
      <c r="H249" s="352" t="s">
        <v>12</v>
      </c>
      <c r="I249" s="353"/>
      <c r="J249" s="353"/>
      <c r="K249" s="354"/>
      <c r="L249" s="355">
        <f ca="1">L250+L251+L252+L253</f>
        <v>0</v>
      </c>
      <c r="M249" s="355"/>
      <c r="N249" s="355">
        <f ca="1">N250+N251+N252+N253</f>
        <v>0</v>
      </c>
      <c r="O249" s="355">
        <f ca="1">IF(L249&gt;0,N249*100/L249,0)</f>
        <v>0</v>
      </c>
      <c r="P249" s="355">
        <f>IF(M249&gt;0,N249*100/M249,0)</f>
        <v>0</v>
      </c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0.25" hidden="1" customHeight="1">
      <c r="A250" s="155"/>
      <c r="B250" s="356"/>
      <c r="C250" s="39"/>
      <c r="D250" s="40" t="s">
        <v>97</v>
      </c>
      <c r="E250" s="39"/>
      <c r="F250" s="39"/>
      <c r="G250" s="41"/>
      <c r="H250" s="164" t="s">
        <v>12</v>
      </c>
      <c r="I250" s="165"/>
      <c r="J250" s="165"/>
      <c r="K250" s="166"/>
      <c r="L250" s="44">
        <f ca="1">IFERROR(__xludf.DUMMYFUNCTION("IMPORTRANGE(""https://docs.google.com/spreadsheets/d/1kC41EOXpGBFOW658Fs3oD8beYlym0-zO54WY-2Qnp9I/edit?usp=share_link"",""กระบี่!L250"")
+IMPORTRANGE(""https://docs.google.com/spreadsheets/d/1FbzMZY_f3MDiEuK7RpCQKrilJ_kpX0Wm7QBZ1L7EjIU/edit?usp=share_link"&amp;""",""ชุมพร!L250"")+IMPORTRANGE(""https://docs.google.com/spreadsheets/d/1v5sN-00LrXuhBxw4dkh2GrG_z4l5oAqOdJRBCsUyMaM/edit?usp=share_link"",""ตรัง!L250"")+IMPORTRANGE(""https://docs.google.com/spreadsheets/d/1T5rRTzFc79aSIvqnzkZNvwPstq829QYz_xALlO1Z0s8/edi"&amp;"t?usp=share_link"",""นครศรีธรรมราช!L250"")+IMPORTRANGE(""https://docs.google.com/spreadsheets/d/1BeghqumK0IvCmRd2QOy6_afsZq7ZtAGrSnVJy2u7WmY/edit?usp=share_link"",""นราธิวาส!L250"")+IMPORTRANGE(""https://docs.google.com/spreadsheets/d/1IwnW3-jjRf74MCLW-6P"&amp;"iFwMUffRQXZwZA7YM609NmRc/edit?usp=share_link"",""ปัตตานี!L250"")+IMPORTRANGE(""https://docs.google.com/spreadsheets/d/1vl4QWbWdFruual5o_wdo6ZSqXZ_it806oja4CctTLKs/edit?usp=share_link"",""พังงา!L250"")+IMPORTRANGE(""https://docs.google.com/spreadsheets/d/1"&amp;"b6QssHQp2FoAPSMKHOy273KNzAomaIKhtdlvuZ_zDNE/edit?usp=share_link"",""พัทลุง!L250"")+IMPORTRANGE(""https://docs.google.com/spreadsheets/d/1o7UZe4_OqlqtLDHrj01Z2YFRSZDf1DMy1n3XViHaxRc/edit?usp=share_link"",""ภูเก็ต!L250"")+IMPORTRANGE(""https://docs.google.c"&amp;"om/spreadsheets/d/1ctPm1vUzcUCPuOj9-eoHUD85PqINFqUB0TjdSWmR5-c/edit?usp=share_link"",""ยะลา!L250"")+IMPORTRANGE(""https://docs.google.com/spreadsheets/d/1YiDIE7Klmt8osgdapRqYWNr7iPGFSsiJqq46S7PYRE0/edit?usp=share_link"",""ระนอง!L250"")+IMPORTRANGE(""https"&amp;"://docs.google.com/spreadsheets/d/16o_4B-V7AWw_6E93bSpXj_XxVv1oVQctk-B6z1dNEWU/edit?usp=share_link"",""สงขลา!L250"")+IMPORTRANGE(""https://docs.google.com/spreadsheets/d/16cywr71Fj4fA5OGRHsZh30ZG2gwJhMAQv69oVBzYHv0/edit?usp=share_link"",""สตูล!L250"")+IMP"&amp;"ORTRANGE(""https://docs.google.com/spreadsheets/d/1vO9Sws6kMtrVtyvrAJptINXjK8TFBoX9xLYOVK_C8bQ/edit?usp=share_link"",""สุราษฎร์ธานี!L250"")"),0)</f>
        <v>0</v>
      </c>
      <c r="M250" s="44"/>
      <c r="N250" s="357">
        <f ca="1">IFERROR(__xludf.DUMMYFUNCTION("IMPORTRANGE(""https://docs.google.com/spreadsheets/d/1kC41EOXpGBFOW658Fs3oD8beYlym0-zO54WY-2Qnp9I/edit?usp=share_link"",""กระบี่!N250"")
+IMPORTRANGE(""https://docs.google.com/spreadsheets/d/1FbzMZY_f3MDiEuK7RpCQKrilJ_kpX0Wm7QBZ1L7EjIU/edit?usp=share_link"&amp;""",""ชุมพร!N250"")+IMPORTRANGE(""https://docs.google.com/spreadsheets/d/1v5sN-00LrXuhBxw4dkh2GrG_z4l5oAqOdJRBCsUyMaM/edit?usp=share_link"",""ตรัง!N250"")+IMPORTRANGE(""https://docs.google.com/spreadsheets/d/1T5rRTzFc79aSIvqnzkZNvwPstq829QYz_xALlO1Z0s8/edi"&amp;"t?usp=share_link"",""นครศรีธรรมราช!N250"")+IMPORTRANGE(""https://docs.google.com/spreadsheets/d/1BeghqumK0IvCmRd2QOy6_afsZq7ZtAGrSnVJy2u7WmY/edit?usp=share_link"",""นราธิวาส!N250"")+IMPORTRANGE(""https://docs.google.com/spreadsheets/d/1IwnW3-jjRf74MCLW-6P"&amp;"iFwMUffRQXZwZA7YM609NmRc/edit?usp=share_link"",""ปัตตานี!N250"")+IMPORTRANGE(""https://docs.google.com/spreadsheets/d/1vl4QWbWdFruual5o_wdo6ZSqXZ_it806oja4CctTLKs/edit?usp=share_link"",""พังงา!N250"")+IMPORTRANGE(""https://docs.google.com/spreadsheets/d/1"&amp;"b6QssHQp2FoAPSMKHOy273KNzAomaIKhtdlvuZ_zDNE/edit?usp=share_link"",""พัทลุง!N250"")+IMPORTRANGE(""https://docs.google.com/spreadsheets/d/1o7UZe4_OqlqtLDHrj01Z2YFRSZDf1DMy1n3XViHaxRc/edit?usp=share_link"",""ภูเก็ต!N250"")+IMPORTRANGE(""https://docs.google.c"&amp;"om/spreadsheets/d/1ctPm1vUzcUCPuOj9-eoHUD85PqINFqUB0TjdSWmR5-c/edit?usp=share_link"",""ยะลา!N250"")+IMPORTRANGE(""https://docs.google.com/spreadsheets/d/1YiDIE7Klmt8osgdapRqYWNr7iPGFSsiJqq46S7PYRE0/edit?usp=share_link"",""ระนอง!N250"")+IMPORTRANGE(""https"&amp;"://docs.google.com/spreadsheets/d/16o_4B-V7AWw_6E93bSpXj_XxVv1oVQctk-B6z1dNEWU/edit?usp=share_link"",""สงขลา!N250"")+IMPORTRANGE(""https://docs.google.com/spreadsheets/d/16cywr71Fj4fA5OGRHsZh30ZG2gwJhMAQv69oVBzYHv0/edit?usp=share_link"",""สตูล!N250"")+IMP"&amp;"ORTRANGE(""https://docs.google.com/spreadsheets/d/1vO9Sws6kMtrVtyvrAJptINXjK8TFBoX9xLYOVK_C8bQ/edit?usp=share_link"",""สุราษฎร์ธานี!N250"")"),0)</f>
        <v>0</v>
      </c>
      <c r="O250" s="44"/>
      <c r="P250" s="44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0.25" hidden="1" customHeight="1">
      <c r="A251" s="358"/>
      <c r="B251" s="356"/>
      <c r="C251" s="359"/>
      <c r="D251" s="222" t="s">
        <v>98</v>
      </c>
      <c r="E251" s="39"/>
      <c r="F251" s="39"/>
      <c r="G251" s="41"/>
      <c r="H251" s="164" t="s">
        <v>12</v>
      </c>
      <c r="I251" s="43"/>
      <c r="J251" s="43"/>
      <c r="K251" s="44"/>
      <c r="L251" s="44">
        <f ca="1">IFERROR(__xludf.DUMMYFUNCTION("IMPORTRANGE(""https://docs.google.com/spreadsheets/d/1kC41EOXpGBFOW658Fs3oD8beYlym0-zO54WY-2Qnp9I/edit?usp=share_link"",""กระบี่!L251"")
+IMPORTRANGE(""https://docs.google.com/spreadsheets/d/1FbzMZY_f3MDiEuK7RpCQKrilJ_kpX0Wm7QBZ1L7EjIU/edit?usp=share_link"&amp;""",""ชุมพร!L251"")+IMPORTRANGE(""https://docs.google.com/spreadsheets/d/1v5sN-00LrXuhBxw4dkh2GrG_z4l5oAqOdJRBCsUyMaM/edit?usp=share_link"",""ตรัง!L251"")+IMPORTRANGE(""https://docs.google.com/spreadsheets/d/1T5rRTzFc79aSIvqnzkZNvwPstq829QYz_xALlO1Z0s8/edi"&amp;"t?usp=share_link"",""นครศรีธรรมราช!L251"")+IMPORTRANGE(""https://docs.google.com/spreadsheets/d/1BeghqumK0IvCmRd2QOy6_afsZq7ZtAGrSnVJy2u7WmY/edit?usp=share_link"",""นราธิวาส!L251"")+IMPORTRANGE(""https://docs.google.com/spreadsheets/d/1IwnW3-jjRf74MCLW-6P"&amp;"iFwMUffRQXZwZA7YM609NmRc/edit?usp=share_link"",""ปัตตานี!L251"")+IMPORTRANGE(""https://docs.google.com/spreadsheets/d/1vl4QWbWdFruual5o_wdo6ZSqXZ_it806oja4CctTLKs/edit?usp=share_link"",""พังงา!L251"")+IMPORTRANGE(""https://docs.google.com/spreadsheets/d/1"&amp;"b6QssHQp2FoAPSMKHOy273KNzAomaIKhtdlvuZ_zDNE/edit?usp=share_link"",""พัทลุง!L251"")+IMPORTRANGE(""https://docs.google.com/spreadsheets/d/1o7UZe4_OqlqtLDHrj01Z2YFRSZDf1DMy1n3XViHaxRc/edit?usp=share_link"",""ภูเก็ต!L251"")+IMPORTRANGE(""https://docs.google.c"&amp;"om/spreadsheets/d/1ctPm1vUzcUCPuOj9-eoHUD85PqINFqUB0TjdSWmR5-c/edit?usp=share_link"",""ยะลา!L251"")+IMPORTRANGE(""https://docs.google.com/spreadsheets/d/1YiDIE7Klmt8osgdapRqYWNr7iPGFSsiJqq46S7PYRE0/edit?usp=share_link"",""ระนอง!L251"")+IMPORTRANGE(""https"&amp;"://docs.google.com/spreadsheets/d/16o_4B-V7AWw_6E93bSpXj_XxVv1oVQctk-B6z1dNEWU/edit?usp=share_link"",""สงขลา!L251"")+IMPORTRANGE(""https://docs.google.com/spreadsheets/d/16cywr71Fj4fA5OGRHsZh30ZG2gwJhMAQv69oVBzYHv0/edit?usp=share_link"",""สตูล!L251"")+IMP"&amp;"ORTRANGE(""https://docs.google.com/spreadsheets/d/1vO9Sws6kMtrVtyvrAJptINXjK8TFBoX9xLYOVK_C8bQ/edit?usp=share_link"",""สุราษฎร์ธานี!L251"")"),0)</f>
        <v>0</v>
      </c>
      <c r="M251" s="44"/>
      <c r="N251" s="357">
        <f ca="1">IFERROR(__xludf.DUMMYFUNCTION("IMPORTRANGE(""https://docs.google.com/spreadsheets/d/1kC41EOXpGBFOW658Fs3oD8beYlym0-zO54WY-2Qnp9I/edit?usp=share_link"",""กระบี่!N251"")
+IMPORTRANGE(""https://docs.google.com/spreadsheets/d/1FbzMZY_f3MDiEuK7RpCQKrilJ_kpX0Wm7QBZ1L7EjIU/edit?usp=share_link"&amp;""",""ชุมพร!N251"")+IMPORTRANGE(""https://docs.google.com/spreadsheets/d/1v5sN-00LrXuhBxw4dkh2GrG_z4l5oAqOdJRBCsUyMaM/edit?usp=share_link"",""ตรัง!N251"")+IMPORTRANGE(""https://docs.google.com/spreadsheets/d/1T5rRTzFc79aSIvqnzkZNvwPstq829QYz_xALlO1Z0s8/edi"&amp;"t?usp=share_link"",""นครศรีธรรมราช!N251"")+IMPORTRANGE(""https://docs.google.com/spreadsheets/d/1BeghqumK0IvCmRd2QOy6_afsZq7ZtAGrSnVJy2u7WmY/edit?usp=share_link"",""นราธิวาส!N251"")+IMPORTRANGE(""https://docs.google.com/spreadsheets/d/1IwnW3-jjRf74MCLW-6P"&amp;"iFwMUffRQXZwZA7YM609NmRc/edit?usp=share_link"",""ปัตตานี!N251"")+IMPORTRANGE(""https://docs.google.com/spreadsheets/d/1vl4QWbWdFruual5o_wdo6ZSqXZ_it806oja4CctTLKs/edit?usp=share_link"",""พังงา!N251"")+IMPORTRANGE(""https://docs.google.com/spreadsheets/d/1"&amp;"b6QssHQp2FoAPSMKHOy273KNzAomaIKhtdlvuZ_zDNE/edit?usp=share_link"",""พัทลุง!N251"")+IMPORTRANGE(""https://docs.google.com/spreadsheets/d/1o7UZe4_OqlqtLDHrj01Z2YFRSZDf1DMy1n3XViHaxRc/edit?usp=share_link"",""ภูเก็ต!N251"")+IMPORTRANGE(""https://docs.google.c"&amp;"om/spreadsheets/d/1ctPm1vUzcUCPuOj9-eoHUD85PqINFqUB0TjdSWmR5-c/edit?usp=share_link"",""ยะลา!N251"")+IMPORTRANGE(""https://docs.google.com/spreadsheets/d/1YiDIE7Klmt8osgdapRqYWNr7iPGFSsiJqq46S7PYRE0/edit?usp=share_link"",""ระนอง!N251"")+IMPORTRANGE(""https"&amp;"://docs.google.com/spreadsheets/d/16o_4B-V7AWw_6E93bSpXj_XxVv1oVQctk-B6z1dNEWU/edit?usp=share_link"",""สงขลา!N251"")+IMPORTRANGE(""https://docs.google.com/spreadsheets/d/16cywr71Fj4fA5OGRHsZh30ZG2gwJhMAQv69oVBzYHv0/edit?usp=share_link"",""สตูล!N251"")+IMP"&amp;"ORTRANGE(""https://docs.google.com/spreadsheets/d/1vO9Sws6kMtrVtyvrAJptINXjK8TFBoX9xLYOVK_C8bQ/edit?usp=share_link"",""สุราษฎร์ธานี!N251"")"),0)</f>
        <v>0</v>
      </c>
      <c r="O251" s="44"/>
      <c r="P251" s="44"/>
      <c r="Q251" s="360"/>
      <c r="R251" s="360"/>
      <c r="S251" s="360"/>
      <c r="T251" s="360"/>
      <c r="U251" s="360"/>
      <c r="V251" s="360"/>
      <c r="W251" s="360"/>
      <c r="X251" s="360"/>
      <c r="Y251" s="360"/>
      <c r="Z251" s="360"/>
    </row>
    <row r="252" spans="1:26" ht="20.25" hidden="1" customHeight="1">
      <c r="A252" s="358"/>
      <c r="B252" s="356"/>
      <c r="C252" s="359"/>
      <c r="D252" s="222" t="s">
        <v>116</v>
      </c>
      <c r="E252" s="39"/>
      <c r="F252" s="39"/>
      <c r="G252" s="41"/>
      <c r="H252" s="164" t="s">
        <v>12</v>
      </c>
      <c r="I252" s="43"/>
      <c r="J252" s="43"/>
      <c r="K252" s="44"/>
      <c r="L252" s="44">
        <f ca="1">IFERROR(__xludf.DUMMYFUNCTION("IMPORTRANGE(""https://docs.google.com/spreadsheets/d/1kC41EOXpGBFOW658Fs3oD8beYlym0-zO54WY-2Qnp9I/edit?usp=share_link"",""กระบี่!L252"")
+IMPORTRANGE(""https://docs.google.com/spreadsheets/d/1FbzMZY_f3MDiEuK7RpCQKrilJ_kpX0Wm7QBZ1L7EjIU/edit?usp=share_link"&amp;""",""ชุมพร!L252"")+IMPORTRANGE(""https://docs.google.com/spreadsheets/d/1v5sN-00LrXuhBxw4dkh2GrG_z4l5oAqOdJRBCsUyMaM/edit?usp=share_link"",""ตรัง!L252"")+IMPORTRANGE(""https://docs.google.com/spreadsheets/d/1T5rRTzFc79aSIvqnzkZNvwPstq829QYz_xALlO1Z0s8/edi"&amp;"t?usp=share_link"",""นครศรีธรรมราช!L252"")+IMPORTRANGE(""https://docs.google.com/spreadsheets/d/1BeghqumK0IvCmRd2QOy6_afsZq7ZtAGrSnVJy2u7WmY/edit?usp=share_link"",""นราธิวาส!L252"")+IMPORTRANGE(""https://docs.google.com/spreadsheets/d/1IwnW3-jjRf74MCLW-6P"&amp;"iFwMUffRQXZwZA7YM609NmRc/edit?usp=share_link"",""ปัตตานี!L252"")+IMPORTRANGE(""https://docs.google.com/spreadsheets/d/1vl4QWbWdFruual5o_wdo6ZSqXZ_it806oja4CctTLKs/edit?usp=share_link"",""พังงา!L252"")+IMPORTRANGE(""https://docs.google.com/spreadsheets/d/1"&amp;"b6QssHQp2FoAPSMKHOy273KNzAomaIKhtdlvuZ_zDNE/edit?usp=share_link"",""พัทลุง!L252"")+IMPORTRANGE(""https://docs.google.com/spreadsheets/d/1o7UZe4_OqlqtLDHrj01Z2YFRSZDf1DMy1n3XViHaxRc/edit?usp=share_link"",""ภูเก็ต!L252"")+IMPORTRANGE(""https://docs.google.c"&amp;"om/spreadsheets/d/1ctPm1vUzcUCPuOj9-eoHUD85PqINFqUB0TjdSWmR5-c/edit?usp=share_link"",""ยะลา!L252"")+IMPORTRANGE(""https://docs.google.com/spreadsheets/d/1YiDIE7Klmt8osgdapRqYWNr7iPGFSsiJqq46S7PYRE0/edit?usp=share_link"",""ระนอง!L252"")+IMPORTRANGE(""https"&amp;"://docs.google.com/spreadsheets/d/16o_4B-V7AWw_6E93bSpXj_XxVv1oVQctk-B6z1dNEWU/edit?usp=share_link"",""สงขลา!L252"")+IMPORTRANGE(""https://docs.google.com/spreadsheets/d/16cywr71Fj4fA5OGRHsZh30ZG2gwJhMAQv69oVBzYHv0/edit?usp=share_link"",""สตูล!L252"")+IMP"&amp;"ORTRANGE(""https://docs.google.com/spreadsheets/d/1vO9Sws6kMtrVtyvrAJptINXjK8TFBoX9xLYOVK_C8bQ/edit?usp=share_link"",""สุราษฎร์ธานี!L252"")"),0)</f>
        <v>0</v>
      </c>
      <c r="M252" s="44"/>
      <c r="N252" s="357">
        <f ca="1">IFERROR(__xludf.DUMMYFUNCTION("IMPORTRANGE(""https://docs.google.com/spreadsheets/d/1kC41EOXpGBFOW658Fs3oD8beYlym0-zO54WY-2Qnp9I/edit?usp=share_link"",""กระบี่!N252"")
+IMPORTRANGE(""https://docs.google.com/spreadsheets/d/1FbzMZY_f3MDiEuK7RpCQKrilJ_kpX0Wm7QBZ1L7EjIU/edit?usp=share_link"&amp;""",""ชุมพร!N252"")+IMPORTRANGE(""https://docs.google.com/spreadsheets/d/1v5sN-00LrXuhBxw4dkh2GrG_z4l5oAqOdJRBCsUyMaM/edit?usp=share_link"",""ตรัง!N252"")+IMPORTRANGE(""https://docs.google.com/spreadsheets/d/1T5rRTzFc79aSIvqnzkZNvwPstq829QYz_xALlO1Z0s8/edi"&amp;"t?usp=share_link"",""นครศรีธรรมราช!N252"")+IMPORTRANGE(""https://docs.google.com/spreadsheets/d/1BeghqumK0IvCmRd2QOy6_afsZq7ZtAGrSnVJy2u7WmY/edit?usp=share_link"",""นราธิวาส!N252"")+IMPORTRANGE(""https://docs.google.com/spreadsheets/d/1IwnW3-jjRf74MCLW-6P"&amp;"iFwMUffRQXZwZA7YM609NmRc/edit?usp=share_link"",""ปัตตานี!N252"")+IMPORTRANGE(""https://docs.google.com/spreadsheets/d/1vl4QWbWdFruual5o_wdo6ZSqXZ_it806oja4CctTLKs/edit?usp=share_link"",""พังงา!N252"")+IMPORTRANGE(""https://docs.google.com/spreadsheets/d/1"&amp;"b6QssHQp2FoAPSMKHOy273KNzAomaIKhtdlvuZ_zDNE/edit?usp=share_link"",""พัทลุง!N252"")+IMPORTRANGE(""https://docs.google.com/spreadsheets/d/1o7UZe4_OqlqtLDHrj01Z2YFRSZDf1DMy1n3XViHaxRc/edit?usp=share_link"",""ภูเก็ต!N252"")+IMPORTRANGE(""https://docs.google.c"&amp;"om/spreadsheets/d/1ctPm1vUzcUCPuOj9-eoHUD85PqINFqUB0TjdSWmR5-c/edit?usp=share_link"",""ยะลา!N252"")+IMPORTRANGE(""https://docs.google.com/spreadsheets/d/1YiDIE7Klmt8osgdapRqYWNr7iPGFSsiJqq46S7PYRE0/edit?usp=share_link"",""ระนอง!N252"")+IMPORTRANGE(""https"&amp;"://docs.google.com/spreadsheets/d/16o_4B-V7AWw_6E93bSpXj_XxVv1oVQctk-B6z1dNEWU/edit?usp=share_link"",""สงขลา!N252"")+IMPORTRANGE(""https://docs.google.com/spreadsheets/d/16cywr71Fj4fA5OGRHsZh30ZG2gwJhMAQv69oVBzYHv0/edit?usp=share_link"",""สตูล!N252"")+IMP"&amp;"ORTRANGE(""https://docs.google.com/spreadsheets/d/1vO9Sws6kMtrVtyvrAJptINXjK8TFBoX9xLYOVK_C8bQ/edit?usp=share_link"",""สุราษฎร์ธานี!N252"")"),0)</f>
        <v>0</v>
      </c>
      <c r="O252" s="44"/>
      <c r="P252" s="44"/>
      <c r="Q252" s="360"/>
      <c r="R252" s="360"/>
      <c r="S252" s="360"/>
      <c r="T252" s="360"/>
      <c r="U252" s="360"/>
      <c r="V252" s="360"/>
      <c r="W252" s="360"/>
      <c r="X252" s="360"/>
      <c r="Y252" s="360"/>
      <c r="Z252" s="360"/>
    </row>
    <row r="253" spans="1:26" ht="20.25" hidden="1" customHeight="1">
      <c r="A253" s="358"/>
      <c r="B253" s="356"/>
      <c r="C253" s="359"/>
      <c r="D253" s="222" t="s">
        <v>100</v>
      </c>
      <c r="E253" s="39"/>
      <c r="F253" s="39"/>
      <c r="G253" s="41"/>
      <c r="H253" s="164" t="s">
        <v>12</v>
      </c>
      <c r="I253" s="43"/>
      <c r="J253" s="43"/>
      <c r="K253" s="44"/>
      <c r="L253" s="44">
        <f ca="1">IFERROR(__xludf.DUMMYFUNCTION("IMPORTRANGE(""https://docs.google.com/spreadsheets/d/1kC41EOXpGBFOW658Fs3oD8beYlym0-zO54WY-2Qnp9I/edit?usp=share_link"",""กระบี่!L253"")
+IMPORTRANGE(""https://docs.google.com/spreadsheets/d/1FbzMZY_f3MDiEuK7RpCQKrilJ_kpX0Wm7QBZ1L7EjIU/edit?usp=share_link"&amp;""",""ชุมพร!L253"")+IMPORTRANGE(""https://docs.google.com/spreadsheets/d/1v5sN-00LrXuhBxw4dkh2GrG_z4l5oAqOdJRBCsUyMaM/edit?usp=share_link"",""ตรัง!L253"")+IMPORTRANGE(""https://docs.google.com/spreadsheets/d/1T5rRTzFc79aSIvqnzkZNvwPstq829QYz_xALlO1Z0s8/edi"&amp;"t?usp=share_link"",""นครศรีธรรมราช!L253"")+IMPORTRANGE(""https://docs.google.com/spreadsheets/d/1BeghqumK0IvCmRd2QOy6_afsZq7ZtAGrSnVJy2u7WmY/edit?usp=share_link"",""นราธิวาส!L253"")+IMPORTRANGE(""https://docs.google.com/spreadsheets/d/1IwnW3-jjRf74MCLW-6P"&amp;"iFwMUffRQXZwZA7YM609NmRc/edit?usp=share_link"",""ปัตตานี!L253"")+IMPORTRANGE(""https://docs.google.com/spreadsheets/d/1vl4QWbWdFruual5o_wdo6ZSqXZ_it806oja4CctTLKs/edit?usp=share_link"",""พังงา!L253"")+IMPORTRANGE(""https://docs.google.com/spreadsheets/d/1"&amp;"b6QssHQp2FoAPSMKHOy273KNzAomaIKhtdlvuZ_zDNE/edit?usp=share_link"",""พัทลุง!L253"")+IMPORTRANGE(""https://docs.google.com/spreadsheets/d/1o7UZe4_OqlqtLDHrj01Z2YFRSZDf1DMy1n3XViHaxRc/edit?usp=share_link"",""ภูเก็ต!L253"")+IMPORTRANGE(""https://docs.google.c"&amp;"om/spreadsheets/d/1ctPm1vUzcUCPuOj9-eoHUD85PqINFqUB0TjdSWmR5-c/edit?usp=share_link"",""ยะลา!L253"")+IMPORTRANGE(""https://docs.google.com/spreadsheets/d/1YiDIE7Klmt8osgdapRqYWNr7iPGFSsiJqq46S7PYRE0/edit?usp=share_link"",""ระนอง!L253"")+IMPORTRANGE(""https"&amp;"://docs.google.com/spreadsheets/d/16o_4B-V7AWw_6E93bSpXj_XxVv1oVQctk-B6z1dNEWU/edit?usp=share_link"",""สงขลา!L253"")+IMPORTRANGE(""https://docs.google.com/spreadsheets/d/16cywr71Fj4fA5OGRHsZh30ZG2gwJhMAQv69oVBzYHv0/edit?usp=share_link"",""สตูล!L253"")+IMP"&amp;"ORTRANGE(""https://docs.google.com/spreadsheets/d/1vO9Sws6kMtrVtyvrAJptINXjK8TFBoX9xLYOVK_C8bQ/edit?usp=share_link"",""สุราษฎร์ธานี!L253"")"),0)</f>
        <v>0</v>
      </c>
      <c r="M253" s="44"/>
      <c r="N253" s="357">
        <f ca="1">IFERROR(__xludf.DUMMYFUNCTION("IMPORTRANGE(""https://docs.google.com/spreadsheets/d/1kC41EOXpGBFOW658Fs3oD8beYlym0-zO54WY-2Qnp9I/edit?usp=share_link"",""กระบี่!N253"")
+IMPORTRANGE(""https://docs.google.com/spreadsheets/d/1FbzMZY_f3MDiEuK7RpCQKrilJ_kpX0Wm7QBZ1L7EjIU/edit?usp=share_link"&amp;""",""ชุมพร!N253"")+IMPORTRANGE(""https://docs.google.com/spreadsheets/d/1v5sN-00LrXuhBxw4dkh2GrG_z4l5oAqOdJRBCsUyMaM/edit?usp=share_link"",""ตรัง!N253"")+IMPORTRANGE(""https://docs.google.com/spreadsheets/d/1T5rRTzFc79aSIvqnzkZNvwPstq829QYz_xALlO1Z0s8/edi"&amp;"t?usp=share_link"",""นครศรีธรรมราช!N253"")+IMPORTRANGE(""https://docs.google.com/spreadsheets/d/1BeghqumK0IvCmRd2QOy6_afsZq7ZtAGrSnVJy2u7WmY/edit?usp=share_link"",""นราธิวาส!N253"")+IMPORTRANGE(""https://docs.google.com/spreadsheets/d/1IwnW3-jjRf74MCLW-6P"&amp;"iFwMUffRQXZwZA7YM609NmRc/edit?usp=share_link"",""ปัตตานี!N253"")+IMPORTRANGE(""https://docs.google.com/spreadsheets/d/1vl4QWbWdFruual5o_wdo6ZSqXZ_it806oja4CctTLKs/edit?usp=share_link"",""พังงา!N253"")+IMPORTRANGE(""https://docs.google.com/spreadsheets/d/1"&amp;"b6QssHQp2FoAPSMKHOy273KNzAomaIKhtdlvuZ_zDNE/edit?usp=share_link"",""พัทลุง!N253"")+IMPORTRANGE(""https://docs.google.com/spreadsheets/d/1o7UZe4_OqlqtLDHrj01Z2YFRSZDf1DMy1n3XViHaxRc/edit?usp=share_link"",""ภูเก็ต!N253"")+IMPORTRANGE(""https://docs.google.c"&amp;"om/spreadsheets/d/1ctPm1vUzcUCPuOj9-eoHUD85PqINFqUB0TjdSWmR5-c/edit?usp=share_link"",""ยะลา!N253"")+IMPORTRANGE(""https://docs.google.com/spreadsheets/d/1YiDIE7Klmt8osgdapRqYWNr7iPGFSsiJqq46S7PYRE0/edit?usp=share_link"",""ระนอง!N253"")+IMPORTRANGE(""https"&amp;"://docs.google.com/spreadsheets/d/16o_4B-V7AWw_6E93bSpXj_XxVv1oVQctk-B6z1dNEWU/edit?usp=share_link"",""สงขลา!N253"")+IMPORTRANGE(""https://docs.google.com/spreadsheets/d/16cywr71Fj4fA5OGRHsZh30ZG2gwJhMAQv69oVBzYHv0/edit?usp=share_link"",""สตูล!N253"")+IMP"&amp;"ORTRANGE(""https://docs.google.com/spreadsheets/d/1vO9Sws6kMtrVtyvrAJptINXjK8TFBoX9xLYOVK_C8bQ/edit?usp=share_link"",""สุราษฎร์ธานี!N253"")"),0)</f>
        <v>0</v>
      </c>
      <c r="O253" s="44"/>
      <c r="P253" s="44"/>
      <c r="Q253" s="360"/>
      <c r="R253" s="360"/>
      <c r="S253" s="360"/>
      <c r="T253" s="360"/>
      <c r="U253" s="360"/>
      <c r="V253" s="360"/>
      <c r="W253" s="360"/>
      <c r="X253" s="360"/>
      <c r="Y253" s="360"/>
      <c r="Z253" s="360"/>
    </row>
    <row r="254" spans="1:26" ht="20.25" hidden="1" customHeight="1">
      <c r="A254" s="361"/>
      <c r="B254" s="362"/>
      <c r="C254" s="359" t="s">
        <v>16</v>
      </c>
      <c r="D254" s="266" t="s">
        <v>38</v>
      </c>
      <c r="E254" s="363"/>
      <c r="F254" s="363"/>
      <c r="G254" s="364"/>
      <c r="H254" s="365"/>
      <c r="I254" s="165"/>
      <c r="J254" s="43"/>
      <c r="K254" s="44"/>
      <c r="L254" s="44"/>
      <c r="M254" s="44"/>
      <c r="N254" s="44"/>
      <c r="O254" s="166"/>
      <c r="P254" s="166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0.25" hidden="1" customHeight="1">
      <c r="A255" s="361"/>
      <c r="B255" s="362"/>
      <c r="C255" s="362"/>
      <c r="D255" s="366" t="s">
        <v>117</v>
      </c>
      <c r="E255" s="367"/>
      <c r="F255" s="367"/>
      <c r="G255" s="368"/>
      <c r="H255" s="369" t="s">
        <v>35</v>
      </c>
      <c r="I255" s="43">
        <f ca="1">IFERROR(__xludf.DUMMYFUNCTION("IMPORTRANGE(""https://docs.google.com/spreadsheets/d/1kC41EOXpGBFOW658Fs3oD8beYlym0-zO54WY-2Qnp9I/edit?usp=share_link"",""กระบี่!I255"")
+IMPORTRANGE(""https://docs.google.com/spreadsheets/d/1FbzMZY_f3MDiEuK7RpCQKrilJ_kpX0Wm7QBZ1L7EjIU/edit?usp=share_link"&amp;""",""ชุมพร!I255"")+IMPORTRANGE(""https://docs.google.com/spreadsheets/d/1v5sN-00LrXuhBxw4dkh2GrG_z4l5oAqOdJRBCsUyMaM/edit?usp=share_link"",""ตรัง!I255"")+IMPORTRANGE(""https://docs.google.com/spreadsheets/d/1T5rRTzFc79aSIvqnzkZNvwPstq829QYz_xALlO1Z0s8/edi"&amp;"t?usp=share_link"",""นครศรีธรรมราช!I255"")+IMPORTRANGE(""https://docs.google.com/spreadsheets/d/1BeghqumK0IvCmRd2QOy6_afsZq7ZtAGrSnVJy2u7WmY/edit?usp=share_link"",""นราธิวาส!I255"")+IMPORTRANGE(""https://docs.google.com/spreadsheets/d/1IwnW3-jjRf74MCLW-6P"&amp;"iFwMUffRQXZwZA7YM609NmRc/edit?usp=share_link"",""ปัตตานี!I255"")+IMPORTRANGE(""https://docs.google.com/spreadsheets/d/1vl4QWbWdFruual5o_wdo6ZSqXZ_it806oja4CctTLKs/edit?usp=share_link"",""พังงา!I255"")+IMPORTRANGE(""https://docs.google.com/spreadsheets/d/1"&amp;"b6QssHQp2FoAPSMKHOy273KNzAomaIKhtdlvuZ_zDNE/edit?usp=share_link"",""พัทลุง!I255"")+IMPORTRANGE(""https://docs.google.com/spreadsheets/d/1o7UZe4_OqlqtLDHrj01Z2YFRSZDf1DMy1n3XViHaxRc/edit?usp=share_link"",""ภูเก็ต!I255"")+IMPORTRANGE(""https://docs.google.c"&amp;"om/spreadsheets/d/1ctPm1vUzcUCPuOj9-eoHUD85PqINFqUB0TjdSWmR5-c/edit?usp=share_link"",""ยะลา!I255"")+IMPORTRANGE(""https://docs.google.com/spreadsheets/d/1YiDIE7Klmt8osgdapRqYWNr7iPGFSsiJqq46S7PYRE0/edit?usp=share_link"",""ระนอง!I255"")+IMPORTRANGE(""https"&amp;"://docs.google.com/spreadsheets/d/16o_4B-V7AWw_6E93bSpXj_XxVv1oVQctk-B6z1dNEWU/edit?usp=share_link"",""สงขลา!I255"")+IMPORTRANGE(""https://docs.google.com/spreadsheets/d/16cywr71Fj4fA5OGRHsZh30ZG2gwJhMAQv69oVBzYHv0/edit?usp=share_link"",""สตูล!I255"")+IMP"&amp;"ORTRANGE(""https://docs.google.com/spreadsheets/d/1vO9Sws6kMtrVtyvrAJptINXjK8TFBoX9xLYOVK_C8bQ/edit?usp=share_link"",""สุราษฎร์ธานี!I255"")"),0)</f>
        <v>0</v>
      </c>
      <c r="J255" s="370">
        <f ca="1">IFERROR(__xludf.DUMMYFUNCTION("IMPORTRANGE(""https://docs.google.com/spreadsheets/d/1kC41EOXpGBFOW658Fs3oD8beYlym0-zO54WY-2Qnp9I/edit?usp=share_link"",""กระบี่!J255"")
+IMPORTRANGE(""https://docs.google.com/spreadsheets/d/1FbzMZY_f3MDiEuK7RpCQKrilJ_kpX0Wm7QBZ1L7EjIU/edit?usp=share_link"&amp;""",""ชุมพร!J255"")+IMPORTRANGE(""https://docs.google.com/spreadsheets/d/1v5sN-00LrXuhBxw4dkh2GrG_z4l5oAqOdJRBCsUyMaM/edit?usp=share_link"",""ตรัง!J255"")+IMPORTRANGE(""https://docs.google.com/spreadsheets/d/1T5rRTzFc79aSIvqnzkZNvwPstq829QYz_xALlO1Z0s8/edi"&amp;"t?usp=share_link"",""นครศรีธรรมราช!J255"")+IMPORTRANGE(""https://docs.google.com/spreadsheets/d/1BeghqumK0IvCmRd2QOy6_afsZq7ZtAGrSnVJy2u7WmY/edit?usp=share_link"",""นราธิวาส!J255"")+IMPORTRANGE(""https://docs.google.com/spreadsheets/d/1IwnW3-jjRf74MCLW-6P"&amp;"iFwMUffRQXZwZA7YM609NmRc/edit?usp=share_link"",""ปัตตานี!J255"")+IMPORTRANGE(""https://docs.google.com/spreadsheets/d/1vl4QWbWdFruual5o_wdo6ZSqXZ_it806oja4CctTLKs/edit?usp=share_link"",""พังงา!J255"")+IMPORTRANGE(""https://docs.google.com/spreadsheets/d/1"&amp;"b6QssHQp2FoAPSMKHOy273KNzAomaIKhtdlvuZ_zDNE/edit?usp=share_link"",""พัทลุง!J255"")+IMPORTRANGE(""https://docs.google.com/spreadsheets/d/1o7UZe4_OqlqtLDHrj01Z2YFRSZDf1DMy1n3XViHaxRc/edit?usp=share_link"",""ภูเก็ต!J255"")+IMPORTRANGE(""https://docs.google.c"&amp;"om/spreadsheets/d/1ctPm1vUzcUCPuOj9-eoHUD85PqINFqUB0TjdSWmR5-c/edit?usp=share_link"",""ยะลา!J255"")+IMPORTRANGE(""https://docs.google.com/spreadsheets/d/1YiDIE7Klmt8osgdapRqYWNr7iPGFSsiJqq46S7PYRE0/edit?usp=share_link"",""ระนอง!J255"")+IMPORTRANGE(""https"&amp;"://docs.google.com/spreadsheets/d/16o_4B-V7AWw_6E93bSpXj_XxVv1oVQctk-B6z1dNEWU/edit?usp=share_link"",""สงขลา!J255"")+IMPORTRANGE(""https://docs.google.com/spreadsheets/d/16cywr71Fj4fA5OGRHsZh30ZG2gwJhMAQv69oVBzYHv0/edit?usp=share_link"",""สตูล!J255"")+IMP"&amp;"ORTRANGE(""https://docs.google.com/spreadsheets/d/1vO9Sws6kMtrVtyvrAJptINXjK8TFBoX9xLYOVK_C8bQ/edit?usp=share_link"",""สุราษฎร์ธานี!J255"")"),0)</f>
        <v>0</v>
      </c>
      <c r="K255" s="44">
        <f ca="1">IF(I255&gt;0,J255*100/I255,0)</f>
        <v>0</v>
      </c>
      <c r="L255" s="44"/>
      <c r="M255" s="44"/>
      <c r="N255" s="44"/>
      <c r="O255" s="44"/>
      <c r="P255" s="44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0.25" hidden="1" customHeight="1">
      <c r="A256" s="361"/>
      <c r="B256" s="362"/>
      <c r="C256" s="362"/>
      <c r="D256" s="371" t="s">
        <v>43</v>
      </c>
      <c r="E256" s="372"/>
      <c r="F256" s="367"/>
      <c r="G256" s="368"/>
      <c r="H256" s="369"/>
      <c r="I256" s="43"/>
      <c r="J256" s="43"/>
      <c r="K256" s="44"/>
      <c r="L256" s="44"/>
      <c r="M256" s="44"/>
      <c r="N256" s="44"/>
      <c r="O256" s="166"/>
      <c r="P256" s="166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0.25" hidden="1" customHeight="1">
      <c r="A257" s="361"/>
      <c r="B257" s="362"/>
      <c r="C257" s="362"/>
      <c r="D257" s="362"/>
      <c r="E257" s="373" t="s">
        <v>118</v>
      </c>
      <c r="F257" s="367"/>
      <c r="G257" s="368"/>
      <c r="H257" s="369" t="s">
        <v>35</v>
      </c>
      <c r="I257" s="43">
        <f ca="1">IFERROR(__xludf.DUMMYFUNCTION("IMPORTRANGE(""https://docs.google.com/spreadsheets/d/1kC41EOXpGBFOW658Fs3oD8beYlym0-zO54WY-2Qnp9I/edit?usp=share_link"",""กระบี่!I257"")
+IMPORTRANGE(""https://docs.google.com/spreadsheets/d/1FbzMZY_f3MDiEuK7RpCQKrilJ_kpX0Wm7QBZ1L7EjIU/edit?usp=share_link"&amp;""",""ชุมพร!I257"")+IMPORTRANGE(""https://docs.google.com/spreadsheets/d/1v5sN-00LrXuhBxw4dkh2GrG_z4l5oAqOdJRBCsUyMaM/edit?usp=share_link"",""ตรัง!I257"")+IMPORTRANGE(""https://docs.google.com/spreadsheets/d/1T5rRTzFc79aSIvqnzkZNvwPstq829QYz_xALlO1Z0s8/edi"&amp;"t?usp=share_link"",""นครศรีธรรมราช!I257"")+IMPORTRANGE(""https://docs.google.com/spreadsheets/d/1BeghqumK0IvCmRd2QOy6_afsZq7ZtAGrSnVJy2u7WmY/edit?usp=share_link"",""นราธิวาส!I257"")+IMPORTRANGE(""https://docs.google.com/spreadsheets/d/1IwnW3-jjRf74MCLW-6P"&amp;"iFwMUffRQXZwZA7YM609NmRc/edit?usp=share_link"",""ปัตตานี!I257"")+IMPORTRANGE(""https://docs.google.com/spreadsheets/d/1vl4QWbWdFruual5o_wdo6ZSqXZ_it806oja4CctTLKs/edit?usp=share_link"",""พังงา!I257"")+IMPORTRANGE(""https://docs.google.com/spreadsheets/d/1"&amp;"b6QssHQp2FoAPSMKHOy273KNzAomaIKhtdlvuZ_zDNE/edit?usp=share_link"",""พัทลุง!I257"")+IMPORTRANGE(""https://docs.google.com/spreadsheets/d/1o7UZe4_OqlqtLDHrj01Z2YFRSZDf1DMy1n3XViHaxRc/edit?usp=share_link"",""ภูเก็ต!I257"")+IMPORTRANGE(""https://docs.google.c"&amp;"om/spreadsheets/d/1ctPm1vUzcUCPuOj9-eoHUD85PqINFqUB0TjdSWmR5-c/edit?usp=share_link"",""ยะลา!I257"")+IMPORTRANGE(""https://docs.google.com/spreadsheets/d/1YiDIE7Klmt8osgdapRqYWNr7iPGFSsiJqq46S7PYRE0/edit?usp=share_link"",""ระนอง!I257"")+IMPORTRANGE(""https"&amp;"://docs.google.com/spreadsheets/d/16o_4B-V7AWw_6E93bSpXj_XxVv1oVQctk-B6z1dNEWU/edit?usp=share_link"",""สงขลา!I257"")+IMPORTRANGE(""https://docs.google.com/spreadsheets/d/16cywr71Fj4fA5OGRHsZh30ZG2gwJhMAQv69oVBzYHv0/edit?usp=share_link"",""สตูล!I257"")+IMP"&amp;"ORTRANGE(""https://docs.google.com/spreadsheets/d/1vO9Sws6kMtrVtyvrAJptINXjK8TFBoX9xLYOVK_C8bQ/edit?usp=share_link"",""สุราษฎร์ธานี!I257"")"),0)</f>
        <v>0</v>
      </c>
      <c r="J257" s="370">
        <f ca="1">IFERROR(__xludf.DUMMYFUNCTION("IMPORTRANGE(""https://docs.google.com/spreadsheets/d/1kC41EOXpGBFOW658Fs3oD8beYlym0-zO54WY-2Qnp9I/edit?usp=share_link"",""กระบี่!J257"")
+IMPORTRANGE(""https://docs.google.com/spreadsheets/d/1FbzMZY_f3MDiEuK7RpCQKrilJ_kpX0Wm7QBZ1L7EjIU/edit?usp=share_link"&amp;""",""ชุมพร!J257"")+IMPORTRANGE(""https://docs.google.com/spreadsheets/d/1v5sN-00LrXuhBxw4dkh2GrG_z4l5oAqOdJRBCsUyMaM/edit?usp=share_link"",""ตรัง!J257"")+IMPORTRANGE(""https://docs.google.com/spreadsheets/d/1T5rRTzFc79aSIvqnzkZNvwPstq829QYz_xALlO1Z0s8/edi"&amp;"t?usp=share_link"",""นครศรีธรรมราช!J257"")+IMPORTRANGE(""https://docs.google.com/spreadsheets/d/1BeghqumK0IvCmRd2QOy6_afsZq7ZtAGrSnVJy2u7WmY/edit?usp=share_link"",""นราธิวาส!J257"")+IMPORTRANGE(""https://docs.google.com/spreadsheets/d/1IwnW3-jjRf74MCLW-6P"&amp;"iFwMUffRQXZwZA7YM609NmRc/edit?usp=share_link"",""ปัตตานี!J257"")+IMPORTRANGE(""https://docs.google.com/spreadsheets/d/1vl4QWbWdFruual5o_wdo6ZSqXZ_it806oja4CctTLKs/edit?usp=share_link"",""พังงา!J257"")+IMPORTRANGE(""https://docs.google.com/spreadsheets/d/1"&amp;"b6QssHQp2FoAPSMKHOy273KNzAomaIKhtdlvuZ_zDNE/edit?usp=share_link"",""พัทลุง!J257"")+IMPORTRANGE(""https://docs.google.com/spreadsheets/d/1o7UZe4_OqlqtLDHrj01Z2YFRSZDf1DMy1n3XViHaxRc/edit?usp=share_link"",""ภูเก็ต!J257"")+IMPORTRANGE(""https://docs.google.c"&amp;"om/spreadsheets/d/1ctPm1vUzcUCPuOj9-eoHUD85PqINFqUB0TjdSWmR5-c/edit?usp=share_link"",""ยะลา!J257"")+IMPORTRANGE(""https://docs.google.com/spreadsheets/d/1YiDIE7Klmt8osgdapRqYWNr7iPGFSsiJqq46S7PYRE0/edit?usp=share_link"",""ระนอง!J257"")+IMPORTRANGE(""https"&amp;"://docs.google.com/spreadsheets/d/16o_4B-V7AWw_6E93bSpXj_XxVv1oVQctk-B6z1dNEWU/edit?usp=share_link"",""สงขลา!J257"")+IMPORTRANGE(""https://docs.google.com/spreadsheets/d/16cywr71Fj4fA5OGRHsZh30ZG2gwJhMAQv69oVBzYHv0/edit?usp=share_link"",""สตูล!J257"")+IMP"&amp;"ORTRANGE(""https://docs.google.com/spreadsheets/d/1vO9Sws6kMtrVtyvrAJptINXjK8TFBoX9xLYOVK_C8bQ/edit?usp=share_link"",""สุราษฎร์ธานี!J257"")"),0)</f>
        <v>0</v>
      </c>
      <c r="K257" s="44">
        <f t="shared" ref="K257:K258" ca="1" si="135">IF(I257&gt;0,J257*100/I257,0)</f>
        <v>0</v>
      </c>
      <c r="L257" s="44"/>
      <c r="M257" s="44"/>
      <c r="N257" s="44"/>
      <c r="O257" s="44"/>
      <c r="P257" s="44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0.25" hidden="1" customHeight="1">
      <c r="A258" s="361"/>
      <c r="B258" s="362"/>
      <c r="C258" s="362"/>
      <c r="D258" s="362"/>
      <c r="E258" s="267" t="s">
        <v>119</v>
      </c>
      <c r="F258" s="367"/>
      <c r="G258" s="368"/>
      <c r="H258" s="369" t="s">
        <v>66</v>
      </c>
      <c r="I258" s="43">
        <f ca="1">IFERROR(__xludf.DUMMYFUNCTION("IMPORTRANGE(""https://docs.google.com/spreadsheets/d/1kC41EOXpGBFOW658Fs3oD8beYlym0-zO54WY-2Qnp9I/edit?usp=share_link"",""กระบี่!I258"")
+IMPORTRANGE(""https://docs.google.com/spreadsheets/d/1FbzMZY_f3MDiEuK7RpCQKrilJ_kpX0Wm7QBZ1L7EjIU/edit?usp=share_link"&amp;""",""ชุมพร!I258"")+IMPORTRANGE(""https://docs.google.com/spreadsheets/d/1v5sN-00LrXuhBxw4dkh2GrG_z4l5oAqOdJRBCsUyMaM/edit?usp=share_link"",""ตรัง!I258"")+IMPORTRANGE(""https://docs.google.com/spreadsheets/d/1T5rRTzFc79aSIvqnzkZNvwPstq829QYz_xALlO1Z0s8/edi"&amp;"t?usp=share_link"",""นครศรีธรรมราช!I258"")+IMPORTRANGE(""https://docs.google.com/spreadsheets/d/1BeghqumK0IvCmRd2QOy6_afsZq7ZtAGrSnVJy2u7WmY/edit?usp=share_link"",""นราธิวาส!I258"")+IMPORTRANGE(""https://docs.google.com/spreadsheets/d/1IwnW3-jjRf74MCLW-6P"&amp;"iFwMUffRQXZwZA7YM609NmRc/edit?usp=share_link"",""ปัตตานี!I258"")+IMPORTRANGE(""https://docs.google.com/spreadsheets/d/1vl4QWbWdFruual5o_wdo6ZSqXZ_it806oja4CctTLKs/edit?usp=share_link"",""พังงา!I258"")+IMPORTRANGE(""https://docs.google.com/spreadsheets/d/1"&amp;"b6QssHQp2FoAPSMKHOy273KNzAomaIKhtdlvuZ_zDNE/edit?usp=share_link"",""พัทลุง!I258"")+IMPORTRANGE(""https://docs.google.com/spreadsheets/d/1o7UZe4_OqlqtLDHrj01Z2YFRSZDf1DMy1n3XViHaxRc/edit?usp=share_link"",""ภูเก็ต!I258"")+IMPORTRANGE(""https://docs.google.c"&amp;"om/spreadsheets/d/1ctPm1vUzcUCPuOj9-eoHUD85PqINFqUB0TjdSWmR5-c/edit?usp=share_link"",""ยะลา!I258"")+IMPORTRANGE(""https://docs.google.com/spreadsheets/d/1YiDIE7Klmt8osgdapRqYWNr7iPGFSsiJqq46S7PYRE0/edit?usp=share_link"",""ระนอง!I258"")+IMPORTRANGE(""https"&amp;"://docs.google.com/spreadsheets/d/16o_4B-V7AWw_6E93bSpXj_XxVv1oVQctk-B6z1dNEWU/edit?usp=share_link"",""สงขลา!I258"")+IMPORTRANGE(""https://docs.google.com/spreadsheets/d/16cywr71Fj4fA5OGRHsZh30ZG2gwJhMAQv69oVBzYHv0/edit?usp=share_link"",""สตูล!I258"")+IMP"&amp;"ORTRANGE(""https://docs.google.com/spreadsheets/d/1vO9Sws6kMtrVtyvrAJptINXjK8TFBoX9xLYOVK_C8bQ/edit?usp=share_link"",""สุราษฎร์ธานี!I258"")"),0)</f>
        <v>0</v>
      </c>
      <c r="J258" s="370">
        <f ca="1">IFERROR(__xludf.DUMMYFUNCTION("IMPORTRANGE(""https://docs.google.com/spreadsheets/d/1kC41EOXpGBFOW658Fs3oD8beYlym0-zO54WY-2Qnp9I/edit?usp=share_link"",""กระบี่!J258"")
+IMPORTRANGE(""https://docs.google.com/spreadsheets/d/1FbzMZY_f3MDiEuK7RpCQKrilJ_kpX0Wm7QBZ1L7EjIU/edit?usp=share_link"&amp;""",""ชุมพร!J258"")+IMPORTRANGE(""https://docs.google.com/spreadsheets/d/1v5sN-00LrXuhBxw4dkh2GrG_z4l5oAqOdJRBCsUyMaM/edit?usp=share_link"",""ตรัง!J258"")+IMPORTRANGE(""https://docs.google.com/spreadsheets/d/1T5rRTzFc79aSIvqnzkZNvwPstq829QYz_xALlO1Z0s8/edi"&amp;"t?usp=share_link"",""นครศรีธรรมราช!J258"")+IMPORTRANGE(""https://docs.google.com/spreadsheets/d/1BeghqumK0IvCmRd2QOy6_afsZq7ZtAGrSnVJy2u7WmY/edit?usp=share_link"",""นราธิวาส!J258"")+IMPORTRANGE(""https://docs.google.com/spreadsheets/d/1IwnW3-jjRf74MCLW-6P"&amp;"iFwMUffRQXZwZA7YM609NmRc/edit?usp=share_link"",""ปัตตานี!J258"")+IMPORTRANGE(""https://docs.google.com/spreadsheets/d/1vl4QWbWdFruual5o_wdo6ZSqXZ_it806oja4CctTLKs/edit?usp=share_link"",""พังงา!J258"")+IMPORTRANGE(""https://docs.google.com/spreadsheets/d/1"&amp;"b6QssHQp2FoAPSMKHOy273KNzAomaIKhtdlvuZ_zDNE/edit?usp=share_link"",""พัทลุง!J258"")+IMPORTRANGE(""https://docs.google.com/spreadsheets/d/1o7UZe4_OqlqtLDHrj01Z2YFRSZDf1DMy1n3XViHaxRc/edit?usp=share_link"",""ภูเก็ต!J258"")+IMPORTRANGE(""https://docs.google.c"&amp;"om/spreadsheets/d/1ctPm1vUzcUCPuOj9-eoHUD85PqINFqUB0TjdSWmR5-c/edit?usp=share_link"",""ยะลา!J258"")+IMPORTRANGE(""https://docs.google.com/spreadsheets/d/1YiDIE7Klmt8osgdapRqYWNr7iPGFSsiJqq46S7PYRE0/edit?usp=share_link"",""ระนอง!J258"")+IMPORTRANGE(""https"&amp;"://docs.google.com/spreadsheets/d/16o_4B-V7AWw_6E93bSpXj_XxVv1oVQctk-B6z1dNEWU/edit?usp=share_link"",""สงขลา!J258"")+IMPORTRANGE(""https://docs.google.com/spreadsheets/d/16cywr71Fj4fA5OGRHsZh30ZG2gwJhMAQv69oVBzYHv0/edit?usp=share_link"",""สตูล!J258"")+IMP"&amp;"ORTRANGE(""https://docs.google.com/spreadsheets/d/1vO9Sws6kMtrVtyvrAJptINXjK8TFBoX9xLYOVK_C8bQ/edit?usp=share_link"",""สุราษฎร์ธานี!J258"")"),0)</f>
        <v>0</v>
      </c>
      <c r="K258" s="44">
        <f t="shared" ca="1" si="135"/>
        <v>0</v>
      </c>
      <c r="L258" s="44"/>
      <c r="M258" s="44"/>
      <c r="N258" s="44"/>
      <c r="O258" s="44"/>
      <c r="P258" s="44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0.25" customHeight="1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20.25" customHeight="1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t="shared" ref="I260:J260" ca="1" si="136">I271</f>
        <v>286</v>
      </c>
      <c r="J260" s="252">
        <f t="shared" ca="1" si="136"/>
        <v>286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20.25" customHeight="1">
      <c r="A261" s="146"/>
      <c r="B261" s="147"/>
      <c r="C261" s="148" t="s">
        <v>16</v>
      </c>
      <c r="D261" s="149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37">L262+L263</f>
        <v>641700</v>
      </c>
      <c r="M261" s="154">
        <f t="shared" ca="1" si="137"/>
        <v>641700</v>
      </c>
      <c r="N261" s="154">
        <f t="shared" ca="1" si="137"/>
        <v>641700</v>
      </c>
      <c r="O261" s="154">
        <f t="shared" ref="O261:O269" ca="1" si="138">IF(L261&gt;0,N261*100/L261,0)</f>
        <v>100</v>
      </c>
      <c r="P261" s="154">
        <f t="shared" ref="P261:P269" ca="1" si="139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20.25" hidden="1" customHeight="1">
      <c r="A262" s="155"/>
      <c r="B262" s="39"/>
      <c r="C262" s="39"/>
      <c r="D262" s="39"/>
      <c r="E262" s="40" t="s">
        <v>18</v>
      </c>
      <c r="F262" s="39"/>
      <c r="G262" s="156"/>
      <c r="H262" s="157" t="s">
        <v>12</v>
      </c>
      <c r="I262" s="43"/>
      <c r="J262" s="43"/>
      <c r="K262" s="44"/>
      <c r="L262" s="44">
        <f t="shared" ref="L262:N262" si="140">L265+L268</f>
        <v>0</v>
      </c>
      <c r="M262" s="44">
        <f t="shared" si="140"/>
        <v>0</v>
      </c>
      <c r="N262" s="44">
        <f t="shared" si="140"/>
        <v>0</v>
      </c>
      <c r="O262" s="44">
        <f t="shared" si="138"/>
        <v>0</v>
      </c>
      <c r="P262" s="44">
        <f t="shared" si="139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0.25" hidden="1" customHeight="1">
      <c r="A263" s="155"/>
      <c r="B263" s="39"/>
      <c r="C263" s="39"/>
      <c r="D263" s="39"/>
      <c r="E263" s="40" t="s">
        <v>19</v>
      </c>
      <c r="F263" s="39"/>
      <c r="G263" s="156"/>
      <c r="H263" s="157" t="s">
        <v>12</v>
      </c>
      <c r="I263" s="43"/>
      <c r="J263" s="43"/>
      <c r="K263" s="44"/>
      <c r="L263" s="44">
        <f t="shared" ref="L263:N263" ca="1" si="141">L266+L269</f>
        <v>641700</v>
      </c>
      <c r="M263" s="44">
        <f t="shared" ca="1" si="141"/>
        <v>641700</v>
      </c>
      <c r="N263" s="44">
        <f t="shared" ca="1" si="141"/>
        <v>641700</v>
      </c>
      <c r="O263" s="44">
        <f t="shared" ca="1" si="138"/>
        <v>100</v>
      </c>
      <c r="P263" s="44">
        <f t="shared" ca="1" si="139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0.25" customHeight="1">
      <c r="A264" s="158"/>
      <c r="B264" s="32"/>
      <c r="C264" s="159"/>
      <c r="D264" s="33" t="s">
        <v>20</v>
      </c>
      <c r="E264" s="32"/>
      <c r="F264" s="32"/>
      <c r="G264" s="34"/>
      <c r="H264" s="160" t="s">
        <v>12</v>
      </c>
      <c r="I264" s="161"/>
      <c r="J264" s="161"/>
      <c r="K264" s="162"/>
      <c r="L264" s="37">
        <f t="shared" ref="L264:N264" ca="1" si="142">L265+L266</f>
        <v>641700</v>
      </c>
      <c r="M264" s="37">
        <f t="shared" ca="1" si="142"/>
        <v>641700</v>
      </c>
      <c r="N264" s="37">
        <f t="shared" ca="1" si="142"/>
        <v>641700</v>
      </c>
      <c r="O264" s="37">
        <f t="shared" ca="1" si="138"/>
        <v>100</v>
      </c>
      <c r="P264" s="37">
        <f t="shared" ca="1" si="139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20.25" hidden="1" customHeight="1">
      <c r="A265" s="155"/>
      <c r="B265" s="39"/>
      <c r="C265" s="163"/>
      <c r="D265" s="39"/>
      <c r="E265" s="40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44">
        <f t="shared" si="138"/>
        <v>0</v>
      </c>
      <c r="P265" s="44">
        <f t="shared" si="139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0.25" hidden="1" customHeight="1">
      <c r="A266" s="155"/>
      <c r="B266" s="39"/>
      <c r="C266" s="163"/>
      <c r="D266" s="39"/>
      <c r="E266" s="40" t="s">
        <v>37</v>
      </c>
      <c r="F266" s="39"/>
      <c r="G266" s="156"/>
      <c r="H266" s="164" t="s">
        <v>12</v>
      </c>
      <c r="I266" s="165"/>
      <c r="J266" s="165"/>
      <c r="K266" s="166"/>
      <c r="L266" s="44">
        <f ca="1">IFERROR(__xludf.DUMMYFUNCTION("IMPORTRANGE(""https://docs.google.com/spreadsheets/d/1kC41EOXpGBFOW658Fs3oD8beYlym0-zO54WY-2Qnp9I/edit?usp=share_link"",""กระบี่!L266"")
+IMPORTRANGE(""https://docs.google.com/spreadsheets/d/1FbzMZY_f3MDiEuK7RpCQKrilJ_kpX0Wm7QBZ1L7EjIU/edit?usp=share_link"&amp;""",""ชุมพร!L266"")+IMPORTRANGE(""https://docs.google.com/spreadsheets/d/1v5sN-00LrXuhBxw4dkh2GrG_z4l5oAqOdJRBCsUyMaM/edit?usp=share_link"",""ตรัง!L266"")+IMPORTRANGE(""https://docs.google.com/spreadsheets/d/1T5rRTzFc79aSIvqnzkZNvwPstq829QYz_xALlO1Z0s8/edi"&amp;"t?usp=share_link"",""นครศรีธรรมราช!L266"")+IMPORTRANGE(""https://docs.google.com/spreadsheets/d/1BeghqumK0IvCmRd2QOy6_afsZq7ZtAGrSnVJy2u7WmY/edit?usp=share_link"",""นราธิวาส!L266"")+IMPORTRANGE(""https://docs.google.com/spreadsheets/d/1IwnW3-jjRf74MCLW-6P"&amp;"iFwMUffRQXZwZA7YM609NmRc/edit?usp=share_link"",""ปัตตานี!L266"")+IMPORTRANGE(""https://docs.google.com/spreadsheets/d/1vl4QWbWdFruual5o_wdo6ZSqXZ_it806oja4CctTLKs/edit?usp=share_link"",""พังงา!L266"")+IMPORTRANGE(""https://docs.google.com/spreadsheets/d/1"&amp;"b6QssHQp2FoAPSMKHOy273KNzAomaIKhtdlvuZ_zDNE/edit?usp=share_link"",""พัทลุง!L266"")+IMPORTRANGE(""https://docs.google.com/spreadsheets/d/1o7UZe4_OqlqtLDHrj01Z2YFRSZDf1DMy1n3XViHaxRc/edit?usp=share_link"",""ภูเก็ต!L266"")+IMPORTRANGE(""https://docs.google.c"&amp;"om/spreadsheets/d/1ctPm1vUzcUCPuOj9-eoHUD85PqINFqUB0TjdSWmR5-c/edit?usp=share_link"",""ยะลา!L266"")+IMPORTRANGE(""https://docs.google.com/spreadsheets/d/1YiDIE7Klmt8osgdapRqYWNr7iPGFSsiJqq46S7PYRE0/edit?usp=share_link"",""ระนอง!L266"")+IMPORTRANGE(""https"&amp;"://docs.google.com/spreadsheets/d/16o_4B-V7AWw_6E93bSpXj_XxVv1oVQctk-B6z1dNEWU/edit?usp=share_link"",""สงขลา!L266"")+IMPORTRANGE(""https://docs.google.com/spreadsheets/d/16cywr71Fj4fA5OGRHsZh30ZG2gwJhMAQv69oVBzYHv0/edit?usp=share_link"",""สตูล!L266"")+IMP"&amp;"ORTRANGE(""https://docs.google.com/spreadsheets/d/1vO9Sws6kMtrVtyvrAJptINXjK8TFBoX9xLYOVK_C8bQ/edit?usp=share_link"",""สุราษฎร์ธานี!L266"")"),641700)</f>
        <v>641700</v>
      </c>
      <c r="M266" s="44">
        <f ca="1">IFERROR(__xludf.DUMMYFUNCTION("IMPORTRANGE(""https://docs.google.com/spreadsheets/d/1kC41EOXpGBFOW658Fs3oD8beYlym0-zO54WY-2Qnp9I/edit?usp=share_link"",""กระบี่!M266"")
+IMPORTRANGE(""https://docs.google.com/spreadsheets/d/1FbzMZY_f3MDiEuK7RpCQKrilJ_kpX0Wm7QBZ1L7EjIU/edit?usp=share_link"&amp;""",""ชุมพร!M266"")+IMPORTRANGE(""https://docs.google.com/spreadsheets/d/1v5sN-00LrXuhBxw4dkh2GrG_z4l5oAqOdJRBCsUyMaM/edit?usp=share_link"",""ตรัง!M266"")+IMPORTRANGE(""https://docs.google.com/spreadsheets/d/1T5rRTzFc79aSIvqnzkZNvwPstq829QYz_xALlO1Z0s8/edi"&amp;"t?usp=share_link"",""นครศรีธรรมราช!M266"")+IMPORTRANGE(""https://docs.google.com/spreadsheets/d/1BeghqumK0IvCmRd2QOy6_afsZq7ZtAGrSnVJy2u7WmY/edit?usp=share_link"",""นราธิวาส!M266"")+IMPORTRANGE(""https://docs.google.com/spreadsheets/d/1IwnW3-jjRf74MCLW-6P"&amp;"iFwMUffRQXZwZA7YM609NmRc/edit?usp=share_link"",""ปัตตานี!M266"")+IMPORTRANGE(""https://docs.google.com/spreadsheets/d/1vl4QWbWdFruual5o_wdo6ZSqXZ_it806oja4CctTLKs/edit?usp=share_link"",""พังงา!M266"")+IMPORTRANGE(""https://docs.google.com/spreadsheets/d/1"&amp;"b6QssHQp2FoAPSMKHOy273KNzAomaIKhtdlvuZ_zDNE/edit?usp=share_link"",""พัทลุง!M266"")+IMPORTRANGE(""https://docs.google.com/spreadsheets/d/1o7UZe4_OqlqtLDHrj01Z2YFRSZDf1DMy1n3XViHaxRc/edit?usp=share_link"",""ภูเก็ต!M266"")+IMPORTRANGE(""https://docs.google.c"&amp;"om/spreadsheets/d/1ctPm1vUzcUCPuOj9-eoHUD85PqINFqUB0TjdSWmR5-c/edit?usp=share_link"",""ยะลา!M266"")+IMPORTRANGE(""https://docs.google.com/spreadsheets/d/1YiDIE7Klmt8osgdapRqYWNr7iPGFSsiJqq46S7PYRE0/edit?usp=share_link"",""ระนอง!M266"")+IMPORTRANGE(""https"&amp;"://docs.google.com/spreadsheets/d/16o_4B-V7AWw_6E93bSpXj_XxVv1oVQctk-B6z1dNEWU/edit?usp=share_link"",""สงขลา!M266"")+IMPORTRANGE(""https://docs.google.com/spreadsheets/d/16cywr71Fj4fA5OGRHsZh30ZG2gwJhMAQv69oVBzYHv0/edit?usp=share_link"",""สตูล!M266"")+IMP"&amp;"ORTRANGE(""https://docs.google.com/spreadsheets/d/1vO9Sws6kMtrVtyvrAJptINXjK8TFBoX9xLYOVK_C8bQ/edit?usp=share_link"",""สุราษฎร์ธานี!M266"")"),641700)</f>
        <v>641700</v>
      </c>
      <c r="N266" s="44">
        <f ca="1">IFERROR(__xludf.DUMMYFUNCTION("IMPORTRANGE(""https://docs.google.com/spreadsheets/d/1kC41EOXpGBFOW658Fs3oD8beYlym0-zO54WY-2Qnp9I/edit?usp=share_link"",""กระบี่!N266"")
+IMPORTRANGE(""https://docs.google.com/spreadsheets/d/1FbzMZY_f3MDiEuK7RpCQKrilJ_kpX0Wm7QBZ1L7EjIU/edit?usp=share_link"&amp;""",""ชุมพร!N266"")+IMPORTRANGE(""https://docs.google.com/spreadsheets/d/1v5sN-00LrXuhBxw4dkh2GrG_z4l5oAqOdJRBCsUyMaM/edit?usp=share_link"",""ตรัง!N266"")+IMPORTRANGE(""https://docs.google.com/spreadsheets/d/1T5rRTzFc79aSIvqnzkZNvwPstq829QYz_xALlO1Z0s8/edi"&amp;"t?usp=share_link"",""นครศรีธรรมราช!N266"")+IMPORTRANGE(""https://docs.google.com/spreadsheets/d/1BeghqumK0IvCmRd2QOy6_afsZq7ZtAGrSnVJy2u7WmY/edit?usp=share_link"",""นราธิวาส!N266"")+IMPORTRANGE(""https://docs.google.com/spreadsheets/d/1IwnW3-jjRf74MCLW-6P"&amp;"iFwMUffRQXZwZA7YM609NmRc/edit?usp=share_link"",""ปัตตานี!N266"")+IMPORTRANGE(""https://docs.google.com/spreadsheets/d/1vl4QWbWdFruual5o_wdo6ZSqXZ_it806oja4CctTLKs/edit?usp=share_link"",""พังงา!N266"")+IMPORTRANGE(""https://docs.google.com/spreadsheets/d/1"&amp;"b6QssHQp2FoAPSMKHOy273KNzAomaIKhtdlvuZ_zDNE/edit?usp=share_link"",""พัทลุง!N266"")+IMPORTRANGE(""https://docs.google.com/spreadsheets/d/1o7UZe4_OqlqtLDHrj01Z2YFRSZDf1DMy1n3XViHaxRc/edit?usp=share_link"",""ภูเก็ต!N266"")+IMPORTRANGE(""https://docs.google.c"&amp;"om/spreadsheets/d/1ctPm1vUzcUCPuOj9-eoHUD85PqINFqUB0TjdSWmR5-c/edit?usp=share_link"",""ยะลา!N266"")+IMPORTRANGE(""https://docs.google.com/spreadsheets/d/1YiDIE7Klmt8osgdapRqYWNr7iPGFSsiJqq46S7PYRE0/edit?usp=share_link"",""ระนอง!N266"")+IMPORTRANGE(""https"&amp;"://docs.google.com/spreadsheets/d/16o_4B-V7AWw_6E93bSpXj_XxVv1oVQctk-B6z1dNEWU/edit?usp=share_link"",""สงขลา!N266"")+IMPORTRANGE(""https://docs.google.com/spreadsheets/d/16cywr71Fj4fA5OGRHsZh30ZG2gwJhMAQv69oVBzYHv0/edit?usp=share_link"",""สตูล!N266"")+IMP"&amp;"ORTRANGE(""https://docs.google.com/spreadsheets/d/1vO9Sws6kMtrVtyvrAJptINXjK8TFBoX9xLYOVK_C8bQ/edit?usp=share_link"",""สุราษฎร์ธานี!N266"")"),641700)</f>
        <v>641700</v>
      </c>
      <c r="O266" s="44">
        <f t="shared" ca="1" si="138"/>
        <v>100</v>
      </c>
      <c r="P266" s="44">
        <f t="shared" ca="1" si="139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0.25" customHeight="1">
      <c r="A267" s="158"/>
      <c r="B267" s="32"/>
      <c r="C267" s="159"/>
      <c r="D267" s="33" t="s">
        <v>21</v>
      </c>
      <c r="E267" s="32"/>
      <c r="F267" s="32"/>
      <c r="G267" s="34"/>
      <c r="H267" s="167" t="s">
        <v>12</v>
      </c>
      <c r="I267" s="161"/>
      <c r="J267" s="161"/>
      <c r="K267" s="162"/>
      <c r="L267" s="37">
        <f t="shared" ref="L267:N267" ca="1" si="143">L268+L269</f>
        <v>0</v>
      </c>
      <c r="M267" s="37">
        <f t="shared" ca="1" si="143"/>
        <v>0</v>
      </c>
      <c r="N267" s="37">
        <f t="shared" ca="1" si="143"/>
        <v>0</v>
      </c>
      <c r="O267" s="37">
        <f t="shared" ca="1" si="138"/>
        <v>0</v>
      </c>
      <c r="P267" s="37">
        <f t="shared" ca="1" si="139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20.25" hidden="1" customHeight="1">
      <c r="A268" s="155"/>
      <c r="B268" s="39"/>
      <c r="C268" s="163"/>
      <c r="D268" s="39"/>
      <c r="E268" s="40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44">
        <f t="shared" si="138"/>
        <v>0</v>
      </c>
      <c r="P268" s="44">
        <f t="shared" si="139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0.25" hidden="1" customHeight="1">
      <c r="A269" s="155"/>
      <c r="B269" s="39"/>
      <c r="C269" s="163"/>
      <c r="D269" s="39"/>
      <c r="E269" s="40" t="s">
        <v>19</v>
      </c>
      <c r="F269" s="39"/>
      <c r="G269" s="156"/>
      <c r="H269" s="168" t="s">
        <v>12</v>
      </c>
      <c r="I269" s="165"/>
      <c r="J269" s="165"/>
      <c r="K269" s="166"/>
      <c r="L269" s="44">
        <f ca="1">IFERROR(__xludf.DUMMYFUNCTION("IMPORTRANGE(""https://docs.google.com/spreadsheets/d/1kC41EOXpGBFOW658Fs3oD8beYlym0-zO54WY-2Qnp9I/edit?usp=share_link"",""กระบี่!L269"")
+IMPORTRANGE(""https://docs.google.com/spreadsheets/d/1FbzMZY_f3MDiEuK7RpCQKrilJ_kpX0Wm7QBZ1L7EjIU/edit?usp=share_link"&amp;""",""ชุมพร!L269"")+IMPORTRANGE(""https://docs.google.com/spreadsheets/d/1v5sN-00LrXuhBxw4dkh2GrG_z4l5oAqOdJRBCsUyMaM/edit?usp=share_link"",""ตรัง!L269"")+IMPORTRANGE(""https://docs.google.com/spreadsheets/d/1T5rRTzFc79aSIvqnzkZNvwPstq829QYz_xALlO1Z0s8/edi"&amp;"t?usp=share_link"",""นครศรีธรรมราช!L269"")+IMPORTRANGE(""https://docs.google.com/spreadsheets/d/1BeghqumK0IvCmRd2QOy6_afsZq7ZtAGrSnVJy2u7WmY/edit?usp=share_link"",""นราธิวาส!L269"")+IMPORTRANGE(""https://docs.google.com/spreadsheets/d/1IwnW3-jjRf74MCLW-6P"&amp;"iFwMUffRQXZwZA7YM609NmRc/edit?usp=share_link"",""ปัตตานี!L269"")+IMPORTRANGE(""https://docs.google.com/spreadsheets/d/1vl4QWbWdFruual5o_wdo6ZSqXZ_it806oja4CctTLKs/edit?usp=share_link"",""พังงา!L269"")+IMPORTRANGE(""https://docs.google.com/spreadsheets/d/1"&amp;"b6QssHQp2FoAPSMKHOy273KNzAomaIKhtdlvuZ_zDNE/edit?usp=share_link"",""พัทลุง!L269"")+IMPORTRANGE(""https://docs.google.com/spreadsheets/d/1o7UZe4_OqlqtLDHrj01Z2YFRSZDf1DMy1n3XViHaxRc/edit?usp=share_link"",""ภูเก็ต!L269"")+IMPORTRANGE(""https://docs.google.c"&amp;"om/spreadsheets/d/1ctPm1vUzcUCPuOj9-eoHUD85PqINFqUB0TjdSWmR5-c/edit?usp=share_link"",""ยะลา!L269"")+IMPORTRANGE(""https://docs.google.com/spreadsheets/d/1YiDIE7Klmt8osgdapRqYWNr7iPGFSsiJqq46S7PYRE0/edit?usp=share_link"",""ระนอง!L269"")+IMPORTRANGE(""https"&amp;"://docs.google.com/spreadsheets/d/16o_4B-V7AWw_6E93bSpXj_XxVv1oVQctk-B6z1dNEWU/edit?usp=share_link"",""สงขลา!L269"")+IMPORTRANGE(""https://docs.google.com/spreadsheets/d/16cywr71Fj4fA5OGRHsZh30ZG2gwJhMAQv69oVBzYHv0/edit?usp=share_link"",""สตูล!L269"")+IMP"&amp;"ORTRANGE(""https://docs.google.com/spreadsheets/d/1vO9Sws6kMtrVtyvrAJptINXjK8TFBoX9xLYOVK_C8bQ/edit?usp=share_link"",""สุราษฎร์ธานี!L269"")"),0)</f>
        <v>0</v>
      </c>
      <c r="M269" s="44">
        <f ca="1">IFERROR(__xludf.DUMMYFUNCTION("IMPORTRANGE(""https://docs.google.com/spreadsheets/d/1kC41EOXpGBFOW658Fs3oD8beYlym0-zO54WY-2Qnp9I/edit?usp=share_link"",""กระบี่!M269"")
+IMPORTRANGE(""https://docs.google.com/spreadsheets/d/1FbzMZY_f3MDiEuK7RpCQKrilJ_kpX0Wm7QBZ1L7EjIU/edit?usp=share_link"&amp;""",""ชุมพร!M269"")+IMPORTRANGE(""https://docs.google.com/spreadsheets/d/1v5sN-00LrXuhBxw4dkh2GrG_z4l5oAqOdJRBCsUyMaM/edit?usp=share_link"",""ตรัง!M269"")+IMPORTRANGE(""https://docs.google.com/spreadsheets/d/1T5rRTzFc79aSIvqnzkZNvwPstq829QYz_xALlO1Z0s8/edi"&amp;"t?usp=share_link"",""นครศรีธรรมราช!M269"")+IMPORTRANGE(""https://docs.google.com/spreadsheets/d/1BeghqumK0IvCmRd2QOy6_afsZq7ZtAGrSnVJy2u7WmY/edit?usp=share_link"",""นราธิวาส!M269"")+IMPORTRANGE(""https://docs.google.com/spreadsheets/d/1IwnW3-jjRf74MCLW-6P"&amp;"iFwMUffRQXZwZA7YM609NmRc/edit?usp=share_link"",""ปัตตานี!M269"")+IMPORTRANGE(""https://docs.google.com/spreadsheets/d/1vl4QWbWdFruual5o_wdo6ZSqXZ_it806oja4CctTLKs/edit?usp=share_link"",""พังงา!M269"")+IMPORTRANGE(""https://docs.google.com/spreadsheets/d/1"&amp;"b6QssHQp2FoAPSMKHOy273KNzAomaIKhtdlvuZ_zDNE/edit?usp=share_link"",""พัทลุง!M269"")+IMPORTRANGE(""https://docs.google.com/spreadsheets/d/1o7UZe4_OqlqtLDHrj01Z2YFRSZDf1DMy1n3XViHaxRc/edit?usp=share_link"",""ภูเก็ต!M269"")+IMPORTRANGE(""https://docs.google.c"&amp;"om/spreadsheets/d/1ctPm1vUzcUCPuOj9-eoHUD85PqINFqUB0TjdSWmR5-c/edit?usp=share_link"",""ยะลา!M269"")+IMPORTRANGE(""https://docs.google.com/spreadsheets/d/1YiDIE7Klmt8osgdapRqYWNr7iPGFSsiJqq46S7PYRE0/edit?usp=share_link"",""ระนอง!M269"")+IMPORTRANGE(""https"&amp;"://docs.google.com/spreadsheets/d/16o_4B-V7AWw_6E93bSpXj_XxVv1oVQctk-B6z1dNEWU/edit?usp=share_link"",""สงขลา!M269"")+IMPORTRANGE(""https://docs.google.com/spreadsheets/d/16cywr71Fj4fA5OGRHsZh30ZG2gwJhMAQv69oVBzYHv0/edit?usp=share_link"",""สตูล!M269"")+IMP"&amp;"ORTRANGE(""https://docs.google.com/spreadsheets/d/1vO9Sws6kMtrVtyvrAJptINXjK8TFBoX9xLYOVK_C8bQ/edit?usp=share_link"",""สุราษฎร์ธานี!M269"")"),0)</f>
        <v>0</v>
      </c>
      <c r="N269" s="44">
        <f ca="1">IFERROR(__xludf.DUMMYFUNCTION("IMPORTRANGE(""https://docs.google.com/spreadsheets/d/1kC41EOXpGBFOW658Fs3oD8beYlym0-zO54WY-2Qnp9I/edit?usp=share_link"",""กระบี่!N269"")
+IMPORTRANGE(""https://docs.google.com/spreadsheets/d/1FbzMZY_f3MDiEuK7RpCQKrilJ_kpX0Wm7QBZ1L7EjIU/edit?usp=share_link"&amp;""",""ชุมพร!N269"")+IMPORTRANGE(""https://docs.google.com/spreadsheets/d/1v5sN-00LrXuhBxw4dkh2GrG_z4l5oAqOdJRBCsUyMaM/edit?usp=share_link"",""ตรัง!N269"")+IMPORTRANGE(""https://docs.google.com/spreadsheets/d/1T5rRTzFc79aSIvqnzkZNvwPstq829QYz_xALlO1Z0s8/edi"&amp;"t?usp=share_link"",""นครศรีธรรมราช!N269"")+IMPORTRANGE(""https://docs.google.com/spreadsheets/d/1BeghqumK0IvCmRd2QOy6_afsZq7ZtAGrSnVJy2u7WmY/edit?usp=share_link"",""นราธิวาส!N269"")+IMPORTRANGE(""https://docs.google.com/spreadsheets/d/1IwnW3-jjRf74MCLW-6P"&amp;"iFwMUffRQXZwZA7YM609NmRc/edit?usp=share_link"",""ปัตตานี!N269"")+IMPORTRANGE(""https://docs.google.com/spreadsheets/d/1vl4QWbWdFruual5o_wdo6ZSqXZ_it806oja4CctTLKs/edit?usp=share_link"",""พังงา!N269"")+IMPORTRANGE(""https://docs.google.com/spreadsheets/d/1"&amp;"b6QssHQp2FoAPSMKHOy273KNzAomaIKhtdlvuZ_zDNE/edit?usp=share_link"",""พัทลุง!N269"")+IMPORTRANGE(""https://docs.google.com/spreadsheets/d/1o7UZe4_OqlqtLDHrj01Z2YFRSZDf1DMy1n3XViHaxRc/edit?usp=share_link"",""ภูเก็ต!N269"")+IMPORTRANGE(""https://docs.google.c"&amp;"om/spreadsheets/d/1ctPm1vUzcUCPuOj9-eoHUD85PqINFqUB0TjdSWmR5-c/edit?usp=share_link"",""ยะลา!N269"")+IMPORTRANGE(""https://docs.google.com/spreadsheets/d/1YiDIE7Klmt8osgdapRqYWNr7iPGFSsiJqq46S7PYRE0/edit?usp=share_link"",""ระนอง!N269"")+IMPORTRANGE(""https"&amp;"://docs.google.com/spreadsheets/d/16o_4B-V7AWw_6E93bSpXj_XxVv1oVQctk-B6z1dNEWU/edit?usp=share_link"",""สงขลา!N269"")+IMPORTRANGE(""https://docs.google.com/spreadsheets/d/16cywr71Fj4fA5OGRHsZh30ZG2gwJhMAQv69oVBzYHv0/edit?usp=share_link"",""สตูล!N269"")+IMP"&amp;"ORTRANGE(""https://docs.google.com/spreadsheets/d/1vO9Sws6kMtrVtyvrAJptINXjK8TFBoX9xLYOVK_C8bQ/edit?usp=share_link"",""สุราษฎร์ธานี!N269"")"),0)</f>
        <v>0</v>
      </c>
      <c r="O269" s="44">
        <f t="shared" ca="1" si="138"/>
        <v>0</v>
      </c>
      <c r="P269" s="44">
        <f t="shared" ca="1" si="139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0.25" customHeight="1">
      <c r="A270" s="169"/>
      <c r="B270" s="170"/>
      <c r="C270" s="159" t="s">
        <v>16</v>
      </c>
      <c r="D270" s="171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20.25" customHeight="1">
      <c r="A271" s="169"/>
      <c r="B271" s="170"/>
      <c r="C271" s="170"/>
      <c r="D271" s="375" t="s">
        <v>124</v>
      </c>
      <c r="E271" s="177"/>
      <c r="F271" s="268"/>
      <c r="G271" s="178"/>
      <c r="H271" s="376" t="s">
        <v>35</v>
      </c>
      <c r="I271" s="36">
        <f ca="1">IFERROR(__xludf.DUMMYFUNCTION("IMPORTRANGE(""https://docs.google.com/spreadsheets/d/1kC41EOXpGBFOW658Fs3oD8beYlym0-zO54WY-2Qnp9I/edit?usp=share_link"",""กระบี่!I271"")
+IMPORTRANGE(""https://docs.google.com/spreadsheets/d/1FbzMZY_f3MDiEuK7RpCQKrilJ_kpX0Wm7QBZ1L7EjIU/edit?usp=share_link"&amp;""",""ชุมพร!I271"")+IMPORTRANGE(""https://docs.google.com/spreadsheets/d/1v5sN-00LrXuhBxw4dkh2GrG_z4l5oAqOdJRBCsUyMaM/edit?usp=share_link"",""ตรัง!I271"")+IMPORTRANGE(""https://docs.google.com/spreadsheets/d/1T5rRTzFc79aSIvqnzkZNvwPstq829QYz_xALlO1Z0s8/edi"&amp;"t?usp=share_link"",""นครศรีธรรมราช!I271"")+IMPORTRANGE(""https://docs.google.com/spreadsheets/d/1BeghqumK0IvCmRd2QOy6_afsZq7ZtAGrSnVJy2u7WmY/edit?usp=share_link"",""นราธิวาส!I271"")+IMPORTRANGE(""https://docs.google.com/spreadsheets/d/1IwnW3-jjRf74MCLW-6P"&amp;"iFwMUffRQXZwZA7YM609NmRc/edit?usp=share_link"",""ปัตตานี!I271"")+IMPORTRANGE(""https://docs.google.com/spreadsheets/d/1vl4QWbWdFruual5o_wdo6ZSqXZ_it806oja4CctTLKs/edit?usp=share_link"",""พังงา!I271"")+IMPORTRANGE(""https://docs.google.com/spreadsheets/d/1"&amp;"b6QssHQp2FoAPSMKHOy273KNzAomaIKhtdlvuZ_zDNE/edit?usp=share_link"",""พัทลุง!I271"")+IMPORTRANGE(""https://docs.google.com/spreadsheets/d/1o7UZe4_OqlqtLDHrj01Z2YFRSZDf1DMy1n3XViHaxRc/edit?usp=share_link"",""ภูเก็ต!I271"")+IMPORTRANGE(""https://docs.google.c"&amp;"om/spreadsheets/d/1ctPm1vUzcUCPuOj9-eoHUD85PqINFqUB0TjdSWmR5-c/edit?usp=share_link"",""ยะลา!I271"")+IMPORTRANGE(""https://docs.google.com/spreadsheets/d/1YiDIE7Klmt8osgdapRqYWNr7iPGFSsiJqq46S7PYRE0/edit?usp=share_link"",""ระนอง!I271"")+IMPORTRANGE(""https"&amp;"://docs.google.com/spreadsheets/d/16o_4B-V7AWw_6E93bSpXj_XxVv1oVQctk-B6z1dNEWU/edit?usp=share_link"",""สงขลา!I271"")+IMPORTRANGE(""https://docs.google.com/spreadsheets/d/16cywr71Fj4fA5OGRHsZh30ZG2gwJhMAQv69oVBzYHv0/edit?usp=share_link"",""สตูล!I271"")+IMP"&amp;"ORTRANGE(""https://docs.google.com/spreadsheets/d/1vO9Sws6kMtrVtyvrAJptINXjK8TFBoX9xLYOVK_C8bQ/edit?usp=share_link"",""สุราษฎร์ธานี!I271"")"),286)</f>
        <v>286</v>
      </c>
      <c r="J271" s="182">
        <f ca="1">IFERROR(__xludf.DUMMYFUNCTION("IMPORTRANGE(""https://docs.google.com/spreadsheets/d/1kC41EOXpGBFOW658Fs3oD8beYlym0-zO54WY-2Qnp9I/edit?usp=share_link"",""กระบี่!J271"")
+IMPORTRANGE(""https://docs.google.com/spreadsheets/d/1FbzMZY_f3MDiEuK7RpCQKrilJ_kpX0Wm7QBZ1L7EjIU/edit?usp=share_link"&amp;""",""ชุมพร!J271"")+IMPORTRANGE(""https://docs.google.com/spreadsheets/d/1v5sN-00LrXuhBxw4dkh2GrG_z4l5oAqOdJRBCsUyMaM/edit?usp=share_link"",""ตรัง!J271"")+IMPORTRANGE(""https://docs.google.com/spreadsheets/d/1T5rRTzFc79aSIvqnzkZNvwPstq829QYz_xALlO1Z0s8/edi"&amp;"t?usp=share_link"",""นครศรีธรรมราช!J271"")+IMPORTRANGE(""https://docs.google.com/spreadsheets/d/1BeghqumK0IvCmRd2QOy6_afsZq7ZtAGrSnVJy2u7WmY/edit?usp=share_link"",""นราธิวาส!J271"")+IMPORTRANGE(""https://docs.google.com/spreadsheets/d/1IwnW3-jjRf74MCLW-6P"&amp;"iFwMUffRQXZwZA7YM609NmRc/edit?usp=share_link"",""ปัตตานี!J271"")+IMPORTRANGE(""https://docs.google.com/spreadsheets/d/1vl4QWbWdFruual5o_wdo6ZSqXZ_it806oja4CctTLKs/edit?usp=share_link"",""พังงา!J271"")+IMPORTRANGE(""https://docs.google.com/spreadsheets/d/1"&amp;"b6QssHQp2FoAPSMKHOy273KNzAomaIKhtdlvuZ_zDNE/edit?usp=share_link"",""พัทลุง!J271"")+IMPORTRANGE(""https://docs.google.com/spreadsheets/d/1o7UZe4_OqlqtLDHrj01Z2YFRSZDf1DMy1n3XViHaxRc/edit?usp=share_link"",""ภูเก็ต!J271"")+IMPORTRANGE(""https://docs.google.c"&amp;"om/spreadsheets/d/1ctPm1vUzcUCPuOj9-eoHUD85PqINFqUB0TjdSWmR5-c/edit?usp=share_link"",""ยะลา!J271"")+IMPORTRANGE(""https://docs.google.com/spreadsheets/d/1YiDIE7Klmt8osgdapRqYWNr7iPGFSsiJqq46S7PYRE0/edit?usp=share_link"",""ระนอง!J271"")+IMPORTRANGE(""https"&amp;"://docs.google.com/spreadsheets/d/16o_4B-V7AWw_6E93bSpXj_XxVv1oVQctk-B6z1dNEWU/edit?usp=share_link"",""สงขลา!J271"")+IMPORTRANGE(""https://docs.google.com/spreadsheets/d/16cywr71Fj4fA5OGRHsZh30ZG2gwJhMAQv69oVBzYHv0/edit?usp=share_link"",""สตูล!J271"")+IMP"&amp;"ORTRANGE(""https://docs.google.com/spreadsheets/d/1vO9Sws6kMtrVtyvrAJptINXjK8TFBoX9xLYOVK_C8bQ/edit?usp=share_link"",""สุราษฎร์ธานี!J271"")"),286)</f>
        <v>286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20.25" hidden="1" customHeight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382">
        <v>0</v>
      </c>
      <c r="J272" s="382">
        <v>0</v>
      </c>
      <c r="K272" s="383">
        <v>0</v>
      </c>
      <c r="L272" s="384"/>
      <c r="M272" s="384"/>
      <c r="N272" s="384"/>
      <c r="O272" s="384"/>
      <c r="P272" s="384"/>
    </row>
    <row r="273" spans="1:26" ht="20.25" customHeight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20.25" customHeight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20.25" customHeight="1">
      <c r="A275" s="399"/>
      <c r="B275" s="400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44">I288</f>
        <v>20</v>
      </c>
      <c r="J275" s="405">
        <f t="shared" ca="1" si="144"/>
        <v>25</v>
      </c>
      <c r="K275" s="406">
        <f t="shared" ref="K275:K276" ca="1" si="145">IF(I275&gt;0,J275*100/I275,0)</f>
        <v>125</v>
      </c>
      <c r="L275" s="407"/>
      <c r="M275" s="407"/>
      <c r="N275" s="407"/>
      <c r="O275" s="407"/>
      <c r="P275" s="407"/>
    </row>
    <row r="276" spans="1:26" ht="20.25" customHeight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9">
        <f t="shared" ref="I276:J276" ca="1" si="146">I287</f>
        <v>200</v>
      </c>
      <c r="J276" s="409">
        <f t="shared" ca="1" si="146"/>
        <v>200</v>
      </c>
      <c r="K276" s="407">
        <f t="shared" ca="1" si="145"/>
        <v>100</v>
      </c>
      <c r="L276" s="407"/>
      <c r="M276" s="407"/>
      <c r="N276" s="407"/>
      <c r="O276" s="407"/>
      <c r="P276" s="407"/>
    </row>
    <row r="277" spans="1:26" ht="20.25" customHeight="1">
      <c r="A277" s="146"/>
      <c r="B277" s="147"/>
      <c r="C277" s="148" t="s">
        <v>16</v>
      </c>
      <c r="D277" s="149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47">L278+L279</f>
        <v>86270</v>
      </c>
      <c r="M277" s="154">
        <f t="shared" ca="1" si="147"/>
        <v>86270</v>
      </c>
      <c r="N277" s="154">
        <f t="shared" ca="1" si="147"/>
        <v>86270</v>
      </c>
      <c r="O277" s="154">
        <f t="shared" ref="O277:O285" ca="1" si="148">IF(L277&gt;0,N277*100/L277,0)</f>
        <v>100</v>
      </c>
      <c r="P277" s="154">
        <f t="shared" ref="P277:P285" ca="1" si="149">IF(M277&gt;0,N277*100/M277,0)</f>
        <v>100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20.25" hidden="1" customHeight="1">
      <c r="A278" s="155"/>
      <c r="B278" s="39"/>
      <c r="C278" s="39"/>
      <c r="D278" s="39"/>
      <c r="E278" s="40" t="s">
        <v>18</v>
      </c>
      <c r="F278" s="39"/>
      <c r="G278" s="156"/>
      <c r="H278" s="157" t="s">
        <v>12</v>
      </c>
      <c r="I278" s="43"/>
      <c r="J278" s="43"/>
      <c r="K278" s="44"/>
      <c r="L278" s="44">
        <f t="shared" ref="L278:N278" si="150">L281+L284</f>
        <v>0</v>
      </c>
      <c r="M278" s="44">
        <f t="shared" si="150"/>
        <v>0</v>
      </c>
      <c r="N278" s="44">
        <f t="shared" si="150"/>
        <v>0</v>
      </c>
      <c r="O278" s="44">
        <f t="shared" si="148"/>
        <v>0</v>
      </c>
      <c r="P278" s="44">
        <f t="shared" si="149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0.25" hidden="1" customHeight="1">
      <c r="A279" s="155"/>
      <c r="B279" s="39"/>
      <c r="C279" s="39"/>
      <c r="D279" s="39"/>
      <c r="E279" s="40" t="s">
        <v>19</v>
      </c>
      <c r="F279" s="39"/>
      <c r="G279" s="156"/>
      <c r="H279" s="157" t="s">
        <v>12</v>
      </c>
      <c r="I279" s="43"/>
      <c r="J279" s="43"/>
      <c r="K279" s="44"/>
      <c r="L279" s="44">
        <f t="shared" ref="L279:N279" ca="1" si="151">L282+L285</f>
        <v>86270</v>
      </c>
      <c r="M279" s="44">
        <f t="shared" ca="1" si="151"/>
        <v>86270</v>
      </c>
      <c r="N279" s="44">
        <f t="shared" ca="1" si="151"/>
        <v>86270</v>
      </c>
      <c r="O279" s="44">
        <f t="shared" ca="1" si="148"/>
        <v>100</v>
      </c>
      <c r="P279" s="44">
        <f t="shared" ca="1" si="149"/>
        <v>100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0.25" customHeight="1">
      <c r="A280" s="158"/>
      <c r="B280" s="32"/>
      <c r="C280" s="159"/>
      <c r="D280" s="33" t="s">
        <v>20</v>
      </c>
      <c r="E280" s="32"/>
      <c r="F280" s="32"/>
      <c r="G280" s="34"/>
      <c r="H280" s="160" t="s">
        <v>12</v>
      </c>
      <c r="I280" s="161"/>
      <c r="J280" s="161"/>
      <c r="K280" s="162"/>
      <c r="L280" s="37">
        <f t="shared" ref="L280:N280" ca="1" si="152">L281+L282</f>
        <v>86270</v>
      </c>
      <c r="M280" s="37">
        <f t="shared" ca="1" si="152"/>
        <v>86270</v>
      </c>
      <c r="N280" s="37">
        <f t="shared" ca="1" si="152"/>
        <v>86270</v>
      </c>
      <c r="O280" s="37">
        <f t="shared" ca="1" si="148"/>
        <v>100</v>
      </c>
      <c r="P280" s="37">
        <f t="shared" ca="1" si="149"/>
        <v>100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20.25" hidden="1" customHeight="1">
      <c r="A281" s="155"/>
      <c r="B281" s="39"/>
      <c r="C281" s="163"/>
      <c r="D281" s="39"/>
      <c r="E281" s="40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44">
        <f t="shared" si="148"/>
        <v>0</v>
      </c>
      <c r="P281" s="44">
        <f t="shared" si="149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0.25" hidden="1" customHeight="1">
      <c r="A282" s="155"/>
      <c r="B282" s="39"/>
      <c r="C282" s="163"/>
      <c r="D282" s="39"/>
      <c r="E282" s="40" t="s">
        <v>37</v>
      </c>
      <c r="F282" s="39"/>
      <c r="G282" s="156"/>
      <c r="H282" s="164" t="s">
        <v>12</v>
      </c>
      <c r="I282" s="165"/>
      <c r="J282" s="165"/>
      <c r="K282" s="166"/>
      <c r="L282" s="44">
        <f ca="1">IFERROR(__xludf.DUMMYFUNCTION("IMPORTRANGE(""https://docs.google.com/spreadsheets/d/1kC41EOXpGBFOW658Fs3oD8beYlym0-zO54WY-2Qnp9I/edit?usp=share_link"",""กระบี่!L282"")
+IMPORTRANGE(""https://docs.google.com/spreadsheets/d/1FbzMZY_f3MDiEuK7RpCQKrilJ_kpX0Wm7QBZ1L7EjIU/edit?usp=share_link"&amp;""",""ชุมพร!L282"")+IMPORTRANGE(""https://docs.google.com/spreadsheets/d/1v5sN-00LrXuhBxw4dkh2GrG_z4l5oAqOdJRBCsUyMaM/edit?usp=share_link"",""ตรัง!L282"")+IMPORTRANGE(""https://docs.google.com/spreadsheets/d/1T5rRTzFc79aSIvqnzkZNvwPstq829QYz_xALlO1Z0s8/edi"&amp;"t?usp=share_link"",""นครศรีธรรมราช!L282"")+IMPORTRANGE(""https://docs.google.com/spreadsheets/d/1BeghqumK0IvCmRd2QOy6_afsZq7ZtAGrSnVJy2u7WmY/edit?usp=share_link"",""นราธิวาส!L282"")+IMPORTRANGE(""https://docs.google.com/spreadsheets/d/1IwnW3-jjRf74MCLW-6P"&amp;"iFwMUffRQXZwZA7YM609NmRc/edit?usp=share_link"",""ปัตตานี!L282"")+IMPORTRANGE(""https://docs.google.com/spreadsheets/d/1vl4QWbWdFruual5o_wdo6ZSqXZ_it806oja4CctTLKs/edit?usp=share_link"",""พังงา!L282"")+IMPORTRANGE(""https://docs.google.com/spreadsheets/d/1"&amp;"b6QssHQp2FoAPSMKHOy273KNzAomaIKhtdlvuZ_zDNE/edit?usp=share_link"",""พัทลุง!L282"")+IMPORTRANGE(""https://docs.google.com/spreadsheets/d/1o7UZe4_OqlqtLDHrj01Z2YFRSZDf1DMy1n3XViHaxRc/edit?usp=share_link"",""ภูเก็ต!L282"")+IMPORTRANGE(""https://docs.google.c"&amp;"om/spreadsheets/d/1ctPm1vUzcUCPuOj9-eoHUD85PqINFqUB0TjdSWmR5-c/edit?usp=share_link"",""ยะลา!L282"")+IMPORTRANGE(""https://docs.google.com/spreadsheets/d/1YiDIE7Klmt8osgdapRqYWNr7iPGFSsiJqq46S7PYRE0/edit?usp=share_link"",""ระนอง!L282"")+IMPORTRANGE(""https"&amp;"://docs.google.com/spreadsheets/d/16o_4B-V7AWw_6E93bSpXj_XxVv1oVQctk-B6z1dNEWU/edit?usp=share_link"",""สงขลา!L282"")+IMPORTRANGE(""https://docs.google.com/spreadsheets/d/16cywr71Fj4fA5OGRHsZh30ZG2gwJhMAQv69oVBzYHv0/edit?usp=share_link"",""สตูล!L282"")+IMP"&amp;"ORTRANGE(""https://docs.google.com/spreadsheets/d/1vO9Sws6kMtrVtyvrAJptINXjK8TFBoX9xLYOVK_C8bQ/edit?usp=share_link"",""สุราษฎร์ธานี!L282"")"),86270)</f>
        <v>86270</v>
      </c>
      <c r="M282" s="44">
        <f ca="1">IFERROR(__xludf.DUMMYFUNCTION("IMPORTRANGE(""https://docs.google.com/spreadsheets/d/1kC41EOXpGBFOW658Fs3oD8beYlym0-zO54WY-2Qnp9I/edit?usp=share_link"",""กระบี่!M282"")
+IMPORTRANGE(""https://docs.google.com/spreadsheets/d/1FbzMZY_f3MDiEuK7RpCQKrilJ_kpX0Wm7QBZ1L7EjIU/edit?usp=share_link"&amp;""",""ชุมพร!M282"")+IMPORTRANGE(""https://docs.google.com/spreadsheets/d/1v5sN-00LrXuhBxw4dkh2GrG_z4l5oAqOdJRBCsUyMaM/edit?usp=share_link"",""ตรัง!M282"")+IMPORTRANGE(""https://docs.google.com/spreadsheets/d/1T5rRTzFc79aSIvqnzkZNvwPstq829QYz_xALlO1Z0s8/edi"&amp;"t?usp=share_link"",""นครศรีธรรมราช!M282"")+IMPORTRANGE(""https://docs.google.com/spreadsheets/d/1BeghqumK0IvCmRd2QOy6_afsZq7ZtAGrSnVJy2u7WmY/edit?usp=share_link"",""นราธิวาส!M282"")+IMPORTRANGE(""https://docs.google.com/spreadsheets/d/1IwnW3-jjRf74MCLW-6P"&amp;"iFwMUffRQXZwZA7YM609NmRc/edit?usp=share_link"",""ปัตตานี!M282"")+IMPORTRANGE(""https://docs.google.com/spreadsheets/d/1vl4QWbWdFruual5o_wdo6ZSqXZ_it806oja4CctTLKs/edit?usp=share_link"",""พังงา!M282"")+IMPORTRANGE(""https://docs.google.com/spreadsheets/d/1"&amp;"b6QssHQp2FoAPSMKHOy273KNzAomaIKhtdlvuZ_zDNE/edit?usp=share_link"",""พัทลุง!M282"")+IMPORTRANGE(""https://docs.google.com/spreadsheets/d/1o7UZe4_OqlqtLDHrj01Z2YFRSZDf1DMy1n3XViHaxRc/edit?usp=share_link"",""ภูเก็ต!M282"")+IMPORTRANGE(""https://docs.google.c"&amp;"om/spreadsheets/d/1ctPm1vUzcUCPuOj9-eoHUD85PqINFqUB0TjdSWmR5-c/edit?usp=share_link"",""ยะลา!M282"")+IMPORTRANGE(""https://docs.google.com/spreadsheets/d/1YiDIE7Klmt8osgdapRqYWNr7iPGFSsiJqq46S7PYRE0/edit?usp=share_link"",""ระนอง!M282"")+IMPORTRANGE(""https"&amp;"://docs.google.com/spreadsheets/d/16o_4B-V7AWw_6E93bSpXj_XxVv1oVQctk-B6z1dNEWU/edit?usp=share_link"",""สงขลา!M282"")+IMPORTRANGE(""https://docs.google.com/spreadsheets/d/16cywr71Fj4fA5OGRHsZh30ZG2gwJhMAQv69oVBzYHv0/edit?usp=share_link"",""สตูล!M282"")+IMP"&amp;"ORTRANGE(""https://docs.google.com/spreadsheets/d/1vO9Sws6kMtrVtyvrAJptINXjK8TFBoX9xLYOVK_C8bQ/edit?usp=share_link"",""สุราษฎร์ธานี!M282"")"),86270)</f>
        <v>86270</v>
      </c>
      <c r="N282" s="44">
        <f ca="1">IFERROR(__xludf.DUMMYFUNCTION("IMPORTRANGE(""https://docs.google.com/spreadsheets/d/1kC41EOXpGBFOW658Fs3oD8beYlym0-zO54WY-2Qnp9I/edit?usp=share_link"",""กระบี่!N282"")
+IMPORTRANGE(""https://docs.google.com/spreadsheets/d/1FbzMZY_f3MDiEuK7RpCQKrilJ_kpX0Wm7QBZ1L7EjIU/edit?usp=share_link"&amp;""",""ชุมพร!N282"")+IMPORTRANGE(""https://docs.google.com/spreadsheets/d/1v5sN-00LrXuhBxw4dkh2GrG_z4l5oAqOdJRBCsUyMaM/edit?usp=share_link"",""ตรัง!N282"")+IMPORTRANGE(""https://docs.google.com/spreadsheets/d/1T5rRTzFc79aSIvqnzkZNvwPstq829QYz_xALlO1Z0s8/edi"&amp;"t?usp=share_link"",""นครศรีธรรมราช!N282"")+IMPORTRANGE(""https://docs.google.com/spreadsheets/d/1BeghqumK0IvCmRd2QOy6_afsZq7ZtAGrSnVJy2u7WmY/edit?usp=share_link"",""นราธิวาส!N282"")+IMPORTRANGE(""https://docs.google.com/spreadsheets/d/1IwnW3-jjRf74MCLW-6P"&amp;"iFwMUffRQXZwZA7YM609NmRc/edit?usp=share_link"",""ปัตตานี!N282"")+IMPORTRANGE(""https://docs.google.com/spreadsheets/d/1vl4QWbWdFruual5o_wdo6ZSqXZ_it806oja4CctTLKs/edit?usp=share_link"",""พังงา!N282"")+IMPORTRANGE(""https://docs.google.com/spreadsheets/d/1"&amp;"b6QssHQp2FoAPSMKHOy273KNzAomaIKhtdlvuZ_zDNE/edit?usp=share_link"",""พัทลุง!N282"")+IMPORTRANGE(""https://docs.google.com/spreadsheets/d/1o7UZe4_OqlqtLDHrj01Z2YFRSZDf1DMy1n3XViHaxRc/edit?usp=share_link"",""ภูเก็ต!N282"")+IMPORTRANGE(""https://docs.google.c"&amp;"om/spreadsheets/d/1ctPm1vUzcUCPuOj9-eoHUD85PqINFqUB0TjdSWmR5-c/edit?usp=share_link"",""ยะลา!N282"")+IMPORTRANGE(""https://docs.google.com/spreadsheets/d/1YiDIE7Klmt8osgdapRqYWNr7iPGFSsiJqq46S7PYRE0/edit?usp=share_link"",""ระนอง!N282"")+IMPORTRANGE(""https"&amp;"://docs.google.com/spreadsheets/d/16o_4B-V7AWw_6E93bSpXj_XxVv1oVQctk-B6z1dNEWU/edit?usp=share_link"",""สงขลา!N282"")+IMPORTRANGE(""https://docs.google.com/spreadsheets/d/16cywr71Fj4fA5OGRHsZh30ZG2gwJhMAQv69oVBzYHv0/edit?usp=share_link"",""สตูล!N282"")+IMP"&amp;"ORTRANGE(""https://docs.google.com/spreadsheets/d/1vO9Sws6kMtrVtyvrAJptINXjK8TFBoX9xLYOVK_C8bQ/edit?usp=share_link"",""สุราษฎร์ธานี!N282"")"),86270)</f>
        <v>86270</v>
      </c>
      <c r="O282" s="44">
        <f t="shared" ca="1" si="148"/>
        <v>100</v>
      </c>
      <c r="P282" s="44">
        <f t="shared" ca="1" si="149"/>
        <v>100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0.25" customHeight="1">
      <c r="A283" s="158"/>
      <c r="B283" s="32"/>
      <c r="C283" s="159"/>
      <c r="D283" s="33" t="s">
        <v>21</v>
      </c>
      <c r="E283" s="32"/>
      <c r="F283" s="32"/>
      <c r="G283" s="34"/>
      <c r="H283" s="167" t="s">
        <v>12</v>
      </c>
      <c r="I283" s="161"/>
      <c r="J283" s="161"/>
      <c r="K283" s="162"/>
      <c r="L283" s="37">
        <f t="shared" ref="L283:N283" ca="1" si="153">L284+L285</f>
        <v>0</v>
      </c>
      <c r="M283" s="37">
        <f t="shared" ca="1" si="153"/>
        <v>0</v>
      </c>
      <c r="N283" s="37">
        <f t="shared" ca="1" si="153"/>
        <v>0</v>
      </c>
      <c r="O283" s="37">
        <f t="shared" ca="1" si="148"/>
        <v>0</v>
      </c>
      <c r="P283" s="37">
        <f t="shared" ca="1" si="149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20.25" hidden="1" customHeight="1">
      <c r="A284" s="155"/>
      <c r="B284" s="39"/>
      <c r="C284" s="163"/>
      <c r="D284" s="39"/>
      <c r="E284" s="40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44">
        <f t="shared" si="148"/>
        <v>0</v>
      </c>
      <c r="P284" s="44">
        <f t="shared" si="149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0.25" hidden="1" customHeight="1">
      <c r="A285" s="155"/>
      <c r="B285" s="39"/>
      <c r="C285" s="163"/>
      <c r="D285" s="39"/>
      <c r="E285" s="40" t="s">
        <v>19</v>
      </c>
      <c r="F285" s="39"/>
      <c r="G285" s="156"/>
      <c r="H285" s="168" t="s">
        <v>12</v>
      </c>
      <c r="I285" s="165"/>
      <c r="J285" s="165"/>
      <c r="K285" s="166"/>
      <c r="L285" s="44">
        <f ca="1">IFERROR(__xludf.DUMMYFUNCTION("IMPORTRANGE(""https://docs.google.com/spreadsheets/d/1kC41EOXpGBFOW658Fs3oD8beYlym0-zO54WY-2Qnp9I/edit?usp=share_link"",""กระบี่!L285"")
+IMPORTRANGE(""https://docs.google.com/spreadsheets/d/1FbzMZY_f3MDiEuK7RpCQKrilJ_kpX0Wm7QBZ1L7EjIU/edit?usp=share_link"&amp;""",""ชุมพร!L285"")+IMPORTRANGE(""https://docs.google.com/spreadsheets/d/1v5sN-00LrXuhBxw4dkh2GrG_z4l5oAqOdJRBCsUyMaM/edit?usp=share_link"",""ตรัง!L285"")+IMPORTRANGE(""https://docs.google.com/spreadsheets/d/1T5rRTzFc79aSIvqnzkZNvwPstq829QYz_xALlO1Z0s8/edi"&amp;"t?usp=share_link"",""นครศรีธรรมราช!L285"")+IMPORTRANGE(""https://docs.google.com/spreadsheets/d/1BeghqumK0IvCmRd2QOy6_afsZq7ZtAGrSnVJy2u7WmY/edit?usp=share_link"",""นราธิวาส!L285"")+IMPORTRANGE(""https://docs.google.com/spreadsheets/d/1IwnW3-jjRf74MCLW-6P"&amp;"iFwMUffRQXZwZA7YM609NmRc/edit?usp=share_link"",""ปัตตานี!L285"")+IMPORTRANGE(""https://docs.google.com/spreadsheets/d/1vl4QWbWdFruual5o_wdo6ZSqXZ_it806oja4CctTLKs/edit?usp=share_link"",""พังงา!L285"")+IMPORTRANGE(""https://docs.google.com/spreadsheets/d/1"&amp;"b6QssHQp2FoAPSMKHOy273KNzAomaIKhtdlvuZ_zDNE/edit?usp=share_link"",""พัทลุง!L285"")+IMPORTRANGE(""https://docs.google.com/spreadsheets/d/1o7UZe4_OqlqtLDHrj01Z2YFRSZDf1DMy1n3XViHaxRc/edit?usp=share_link"",""ภูเก็ต!L285"")+IMPORTRANGE(""https://docs.google.c"&amp;"om/spreadsheets/d/1ctPm1vUzcUCPuOj9-eoHUD85PqINFqUB0TjdSWmR5-c/edit?usp=share_link"",""ยะลา!L285"")+IMPORTRANGE(""https://docs.google.com/spreadsheets/d/1YiDIE7Klmt8osgdapRqYWNr7iPGFSsiJqq46S7PYRE0/edit?usp=share_link"",""ระนอง!L285"")+IMPORTRANGE(""https"&amp;"://docs.google.com/spreadsheets/d/16o_4B-V7AWw_6E93bSpXj_XxVv1oVQctk-B6z1dNEWU/edit?usp=share_link"",""สงขลา!L285"")+IMPORTRANGE(""https://docs.google.com/spreadsheets/d/16cywr71Fj4fA5OGRHsZh30ZG2gwJhMAQv69oVBzYHv0/edit?usp=share_link"",""สตูล!L285"")+IMP"&amp;"ORTRANGE(""https://docs.google.com/spreadsheets/d/1vO9Sws6kMtrVtyvrAJptINXjK8TFBoX9xLYOVK_C8bQ/edit?usp=share_link"",""สุราษฎร์ธานี!L285"")"),0)</f>
        <v>0</v>
      </c>
      <c r="M285" s="44">
        <f ca="1">IFERROR(__xludf.DUMMYFUNCTION("IMPORTRANGE(""https://docs.google.com/spreadsheets/d/1kC41EOXpGBFOW658Fs3oD8beYlym0-zO54WY-2Qnp9I/edit?usp=share_link"",""กระบี่!M285"")
+IMPORTRANGE(""https://docs.google.com/spreadsheets/d/1FbzMZY_f3MDiEuK7RpCQKrilJ_kpX0Wm7QBZ1L7EjIU/edit?usp=share_link"&amp;""",""ชุมพร!M285"")+IMPORTRANGE(""https://docs.google.com/spreadsheets/d/1v5sN-00LrXuhBxw4dkh2GrG_z4l5oAqOdJRBCsUyMaM/edit?usp=share_link"",""ตรัง!M285"")+IMPORTRANGE(""https://docs.google.com/spreadsheets/d/1T5rRTzFc79aSIvqnzkZNvwPstq829QYz_xALlO1Z0s8/edi"&amp;"t?usp=share_link"",""นครศรีธรรมราช!M285"")+IMPORTRANGE(""https://docs.google.com/spreadsheets/d/1BeghqumK0IvCmRd2QOy6_afsZq7ZtAGrSnVJy2u7WmY/edit?usp=share_link"",""นราธิวาส!M285"")+IMPORTRANGE(""https://docs.google.com/spreadsheets/d/1IwnW3-jjRf74MCLW-6P"&amp;"iFwMUffRQXZwZA7YM609NmRc/edit?usp=share_link"",""ปัตตานี!M285"")+IMPORTRANGE(""https://docs.google.com/spreadsheets/d/1vl4QWbWdFruual5o_wdo6ZSqXZ_it806oja4CctTLKs/edit?usp=share_link"",""พังงา!M285"")+IMPORTRANGE(""https://docs.google.com/spreadsheets/d/1"&amp;"b6QssHQp2FoAPSMKHOy273KNzAomaIKhtdlvuZ_zDNE/edit?usp=share_link"",""พัทลุง!M285"")+IMPORTRANGE(""https://docs.google.com/spreadsheets/d/1o7UZe4_OqlqtLDHrj01Z2YFRSZDf1DMy1n3XViHaxRc/edit?usp=share_link"",""ภูเก็ต!M285"")+IMPORTRANGE(""https://docs.google.c"&amp;"om/spreadsheets/d/1ctPm1vUzcUCPuOj9-eoHUD85PqINFqUB0TjdSWmR5-c/edit?usp=share_link"",""ยะลา!M285"")+IMPORTRANGE(""https://docs.google.com/spreadsheets/d/1YiDIE7Klmt8osgdapRqYWNr7iPGFSsiJqq46S7PYRE0/edit?usp=share_link"",""ระนอง!M285"")+IMPORTRANGE(""https"&amp;"://docs.google.com/spreadsheets/d/16o_4B-V7AWw_6E93bSpXj_XxVv1oVQctk-B6z1dNEWU/edit?usp=share_link"",""สงขลา!M285"")+IMPORTRANGE(""https://docs.google.com/spreadsheets/d/16cywr71Fj4fA5OGRHsZh30ZG2gwJhMAQv69oVBzYHv0/edit?usp=share_link"",""สตูล!M285"")+IMP"&amp;"ORTRANGE(""https://docs.google.com/spreadsheets/d/1vO9Sws6kMtrVtyvrAJptINXjK8TFBoX9xLYOVK_C8bQ/edit?usp=share_link"",""สุราษฎร์ธานี!M285"")"),0)</f>
        <v>0</v>
      </c>
      <c r="N285" s="44">
        <f ca="1">IFERROR(__xludf.DUMMYFUNCTION("IMPORTRANGE(""https://docs.google.com/spreadsheets/d/1kC41EOXpGBFOW658Fs3oD8beYlym0-zO54WY-2Qnp9I/edit?usp=share_link"",""กระบี่!N285"")
+IMPORTRANGE(""https://docs.google.com/spreadsheets/d/1FbzMZY_f3MDiEuK7RpCQKrilJ_kpX0Wm7QBZ1L7EjIU/edit?usp=share_link"&amp;""",""ชุมพร!N285"")+IMPORTRANGE(""https://docs.google.com/spreadsheets/d/1v5sN-00LrXuhBxw4dkh2GrG_z4l5oAqOdJRBCsUyMaM/edit?usp=share_link"",""ตรัง!N285"")+IMPORTRANGE(""https://docs.google.com/spreadsheets/d/1T5rRTzFc79aSIvqnzkZNvwPstq829QYz_xALlO1Z0s8/edi"&amp;"t?usp=share_link"",""นครศรีธรรมราช!N285"")+IMPORTRANGE(""https://docs.google.com/spreadsheets/d/1BeghqumK0IvCmRd2QOy6_afsZq7ZtAGrSnVJy2u7WmY/edit?usp=share_link"",""นราธิวาส!N285"")+IMPORTRANGE(""https://docs.google.com/spreadsheets/d/1IwnW3-jjRf74MCLW-6P"&amp;"iFwMUffRQXZwZA7YM609NmRc/edit?usp=share_link"",""ปัตตานี!N285"")+IMPORTRANGE(""https://docs.google.com/spreadsheets/d/1vl4QWbWdFruual5o_wdo6ZSqXZ_it806oja4CctTLKs/edit?usp=share_link"",""พังงา!N285"")+IMPORTRANGE(""https://docs.google.com/spreadsheets/d/1"&amp;"b6QssHQp2FoAPSMKHOy273KNzAomaIKhtdlvuZ_zDNE/edit?usp=share_link"",""พัทลุง!N285"")+IMPORTRANGE(""https://docs.google.com/spreadsheets/d/1o7UZe4_OqlqtLDHrj01Z2YFRSZDf1DMy1n3XViHaxRc/edit?usp=share_link"",""ภูเก็ต!N285"")+IMPORTRANGE(""https://docs.google.c"&amp;"om/spreadsheets/d/1ctPm1vUzcUCPuOj9-eoHUD85PqINFqUB0TjdSWmR5-c/edit?usp=share_link"",""ยะลา!N285"")+IMPORTRANGE(""https://docs.google.com/spreadsheets/d/1YiDIE7Klmt8osgdapRqYWNr7iPGFSsiJqq46S7PYRE0/edit?usp=share_link"",""ระนอง!N285"")+IMPORTRANGE(""https"&amp;"://docs.google.com/spreadsheets/d/16o_4B-V7AWw_6E93bSpXj_XxVv1oVQctk-B6z1dNEWU/edit?usp=share_link"",""สงขลา!N285"")+IMPORTRANGE(""https://docs.google.com/spreadsheets/d/16cywr71Fj4fA5OGRHsZh30ZG2gwJhMAQv69oVBzYHv0/edit?usp=share_link"",""สตูล!N285"")+IMP"&amp;"ORTRANGE(""https://docs.google.com/spreadsheets/d/1vO9Sws6kMtrVtyvrAJptINXjK8TFBoX9xLYOVK_C8bQ/edit?usp=share_link"",""สุราษฎร์ธานี!N285"")"),0)</f>
        <v>0</v>
      </c>
      <c r="O285" s="44">
        <f t="shared" ca="1" si="148"/>
        <v>0</v>
      </c>
      <c r="P285" s="44">
        <f t="shared" ca="1" si="149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0.25" customHeight="1">
      <c r="A286" s="169"/>
      <c r="B286" s="170"/>
      <c r="C286" s="163" t="s">
        <v>16</v>
      </c>
      <c r="D286" s="171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20.25" customHeight="1">
      <c r="A287" s="169"/>
      <c r="B287" s="170"/>
      <c r="C287" s="170"/>
      <c r="D287" s="410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IFERROR(__xludf.DUMMYFUNCTION("IMPORTRANGE(""https://docs.google.com/spreadsheets/d/1kC41EOXpGBFOW658Fs3oD8beYlym0-zO54WY-2Qnp9I/edit?usp=share_link"",""กระบี่!I287"")
+IMPORTRANGE(""https://docs.google.com/spreadsheets/d/1FbzMZY_f3MDiEuK7RpCQKrilJ_kpX0Wm7QBZ1L7EjIU/edit?usp=share_link"&amp;""",""ชุมพร!I287"")+IMPORTRANGE(""https://docs.google.com/spreadsheets/d/1v5sN-00LrXuhBxw4dkh2GrG_z4l5oAqOdJRBCsUyMaM/edit?usp=share_link"",""ตรัง!I287"")+IMPORTRANGE(""https://docs.google.com/spreadsheets/d/1T5rRTzFc79aSIvqnzkZNvwPstq829QYz_xALlO1Z0s8/edi"&amp;"t?usp=share_link"",""นครศรีธรรมราช!I287"")+IMPORTRANGE(""https://docs.google.com/spreadsheets/d/1BeghqumK0IvCmRd2QOy6_afsZq7ZtAGrSnVJy2u7WmY/edit?usp=share_link"",""นราธิวาส!I287"")+IMPORTRANGE(""https://docs.google.com/spreadsheets/d/1IwnW3-jjRf74MCLW-6P"&amp;"iFwMUffRQXZwZA7YM609NmRc/edit?usp=share_link"",""ปัตตานี!I287"")+IMPORTRANGE(""https://docs.google.com/spreadsheets/d/1vl4QWbWdFruual5o_wdo6ZSqXZ_it806oja4CctTLKs/edit?usp=share_link"",""พังงา!I287"")+IMPORTRANGE(""https://docs.google.com/spreadsheets/d/1"&amp;"b6QssHQp2FoAPSMKHOy273KNzAomaIKhtdlvuZ_zDNE/edit?usp=share_link"",""พัทลุง!I287"")+IMPORTRANGE(""https://docs.google.com/spreadsheets/d/1o7UZe4_OqlqtLDHrj01Z2YFRSZDf1DMy1n3XViHaxRc/edit?usp=share_link"",""ภูเก็ต!I287"")+IMPORTRANGE(""https://docs.google.c"&amp;"om/spreadsheets/d/1ctPm1vUzcUCPuOj9-eoHUD85PqINFqUB0TjdSWmR5-c/edit?usp=share_link"",""ยะลา!I287"")+IMPORTRANGE(""https://docs.google.com/spreadsheets/d/1YiDIE7Klmt8osgdapRqYWNr7iPGFSsiJqq46S7PYRE0/edit?usp=share_link"",""ระนอง!I287"")+IMPORTRANGE(""https"&amp;"://docs.google.com/spreadsheets/d/16o_4B-V7AWw_6E93bSpXj_XxVv1oVQctk-B6z1dNEWU/edit?usp=share_link"",""สงขลา!I287"")+IMPORTRANGE(""https://docs.google.com/spreadsheets/d/16cywr71Fj4fA5OGRHsZh30ZG2gwJhMAQv69oVBzYHv0/edit?usp=share_link"",""สตูล!I287"")+IMP"&amp;"ORTRANGE(""https://docs.google.com/spreadsheets/d/1vO9Sws6kMtrVtyvrAJptINXjK8TFBoX9xLYOVK_C8bQ/edit?usp=share_link"",""สุราษฎร์ธานี!I287"")"),200)</f>
        <v>200</v>
      </c>
      <c r="J287" s="182">
        <f ca="1">IFERROR(__xludf.DUMMYFUNCTION("IMPORTRANGE(""https://docs.google.com/spreadsheets/d/1kC41EOXpGBFOW658Fs3oD8beYlym0-zO54WY-2Qnp9I/edit?usp=share_link"",""กระบี่!J287"")
+IMPORTRANGE(""https://docs.google.com/spreadsheets/d/1FbzMZY_f3MDiEuK7RpCQKrilJ_kpX0Wm7QBZ1L7EjIU/edit?usp=share_link"&amp;""",""ชุมพร!J287"")+IMPORTRANGE(""https://docs.google.com/spreadsheets/d/1v5sN-00LrXuhBxw4dkh2GrG_z4l5oAqOdJRBCsUyMaM/edit?usp=share_link"",""ตรัง!J287"")+IMPORTRANGE(""https://docs.google.com/spreadsheets/d/1T5rRTzFc79aSIvqnzkZNvwPstq829QYz_xALlO1Z0s8/edi"&amp;"t?usp=share_link"",""นครศรีธรรมราช!J287"")+IMPORTRANGE(""https://docs.google.com/spreadsheets/d/1BeghqumK0IvCmRd2QOy6_afsZq7ZtAGrSnVJy2u7WmY/edit?usp=share_link"",""นราธิวาส!J287"")+IMPORTRANGE(""https://docs.google.com/spreadsheets/d/1IwnW3-jjRf74MCLW-6P"&amp;"iFwMUffRQXZwZA7YM609NmRc/edit?usp=share_link"",""ปัตตานี!J287"")+IMPORTRANGE(""https://docs.google.com/spreadsheets/d/1vl4QWbWdFruual5o_wdo6ZSqXZ_it806oja4CctTLKs/edit?usp=share_link"",""พังงา!J287"")+IMPORTRANGE(""https://docs.google.com/spreadsheets/d/1"&amp;"b6QssHQp2FoAPSMKHOy273KNzAomaIKhtdlvuZ_zDNE/edit?usp=share_link"",""พัทลุง!J287"")+IMPORTRANGE(""https://docs.google.com/spreadsheets/d/1o7UZe4_OqlqtLDHrj01Z2YFRSZDf1DMy1n3XViHaxRc/edit?usp=share_link"",""ภูเก็ต!J287"")+IMPORTRANGE(""https://docs.google.c"&amp;"om/spreadsheets/d/1ctPm1vUzcUCPuOj9-eoHUD85PqINFqUB0TjdSWmR5-c/edit?usp=share_link"",""ยะลา!J287"")+IMPORTRANGE(""https://docs.google.com/spreadsheets/d/1YiDIE7Klmt8osgdapRqYWNr7iPGFSsiJqq46S7PYRE0/edit?usp=share_link"",""ระนอง!J287"")+IMPORTRANGE(""https"&amp;"://docs.google.com/spreadsheets/d/16o_4B-V7AWw_6E93bSpXj_XxVv1oVQctk-B6z1dNEWU/edit?usp=share_link"",""สงขลา!J287"")+IMPORTRANGE(""https://docs.google.com/spreadsheets/d/16cywr71Fj4fA5OGRHsZh30ZG2gwJhMAQv69oVBzYHv0/edit?usp=share_link"",""สตูล!J287"")+IMP"&amp;"ORTRANGE(""https://docs.google.com/spreadsheets/d/1vO9Sws6kMtrVtyvrAJptINXjK8TFBoX9xLYOVK_C8bQ/edit?usp=share_link"",""สุราษฎร์ธานี!J287"")"),200)</f>
        <v>200</v>
      </c>
      <c r="K287" s="162">
        <f t="shared" ref="K287:K288" ca="1" si="154">IF(I287&gt;0,J287*100/I287,0)</f>
        <v>100</v>
      </c>
      <c r="L287" s="162"/>
      <c r="M287" s="162"/>
      <c r="N287" s="162"/>
      <c r="O287" s="162"/>
      <c r="P287" s="162"/>
    </row>
    <row r="288" spans="1:26" ht="20.25" customHeight="1">
      <c r="A288" s="169"/>
      <c r="B288" s="170"/>
      <c r="C288" s="170"/>
      <c r="D288" s="410" t="s">
        <v>130</v>
      </c>
      <c r="E288" s="170"/>
      <c r="F288" s="177"/>
      <c r="G288" s="178"/>
      <c r="H288" s="179" t="s">
        <v>35</v>
      </c>
      <c r="I288" s="193">
        <f ca="1">IFERROR(__xludf.DUMMYFUNCTION("IMPORTRANGE(""https://docs.google.com/spreadsheets/d/1kC41EOXpGBFOW658Fs3oD8beYlym0-zO54WY-2Qnp9I/edit?usp=share_link"",""กระบี่!I288"")
+IMPORTRANGE(""https://docs.google.com/spreadsheets/d/1FbzMZY_f3MDiEuK7RpCQKrilJ_kpX0Wm7QBZ1L7EjIU/edit?usp=share_link"&amp;""",""ชุมพร!I288"")+IMPORTRANGE(""https://docs.google.com/spreadsheets/d/1v5sN-00LrXuhBxw4dkh2GrG_z4l5oAqOdJRBCsUyMaM/edit?usp=share_link"",""ตรัง!I288"")+IMPORTRANGE(""https://docs.google.com/spreadsheets/d/1T5rRTzFc79aSIvqnzkZNvwPstq829QYz_xALlO1Z0s8/edi"&amp;"t?usp=share_link"",""นครศรีธรรมราช!I288"")+IMPORTRANGE(""https://docs.google.com/spreadsheets/d/1BeghqumK0IvCmRd2QOy6_afsZq7ZtAGrSnVJy2u7WmY/edit?usp=share_link"",""นราธิวาส!I288"")+IMPORTRANGE(""https://docs.google.com/spreadsheets/d/1IwnW3-jjRf74MCLW-6P"&amp;"iFwMUffRQXZwZA7YM609NmRc/edit?usp=share_link"",""ปัตตานี!I288"")+IMPORTRANGE(""https://docs.google.com/spreadsheets/d/1vl4QWbWdFruual5o_wdo6ZSqXZ_it806oja4CctTLKs/edit?usp=share_link"",""พังงา!I288"")+IMPORTRANGE(""https://docs.google.com/spreadsheets/d/1"&amp;"b6QssHQp2FoAPSMKHOy273KNzAomaIKhtdlvuZ_zDNE/edit?usp=share_link"",""พัทลุง!I288"")+IMPORTRANGE(""https://docs.google.com/spreadsheets/d/1o7UZe4_OqlqtLDHrj01Z2YFRSZDf1DMy1n3XViHaxRc/edit?usp=share_link"",""ภูเก็ต!I288"")+IMPORTRANGE(""https://docs.google.c"&amp;"om/spreadsheets/d/1ctPm1vUzcUCPuOj9-eoHUD85PqINFqUB0TjdSWmR5-c/edit?usp=share_link"",""ยะลา!I288"")+IMPORTRANGE(""https://docs.google.com/spreadsheets/d/1YiDIE7Klmt8osgdapRqYWNr7iPGFSsiJqq46S7PYRE0/edit?usp=share_link"",""ระนอง!I288"")+IMPORTRANGE(""https"&amp;"://docs.google.com/spreadsheets/d/16o_4B-V7AWw_6E93bSpXj_XxVv1oVQctk-B6z1dNEWU/edit?usp=share_link"",""สงขลา!I288"")+IMPORTRANGE(""https://docs.google.com/spreadsheets/d/16cywr71Fj4fA5OGRHsZh30ZG2gwJhMAQv69oVBzYHv0/edit?usp=share_link"",""สตูล!I288"")+IMP"&amp;"ORTRANGE(""https://docs.google.com/spreadsheets/d/1vO9Sws6kMtrVtyvrAJptINXjK8TFBoX9xLYOVK_C8bQ/edit?usp=share_link"",""สุราษฎร์ธานี!I288"")"),20)</f>
        <v>20</v>
      </c>
      <c r="J288" s="193">
        <f ca="1">IFERROR(__xludf.DUMMYFUNCTION("IMPORTRANGE(""https://docs.google.com/spreadsheets/d/1kC41EOXpGBFOW658Fs3oD8beYlym0-zO54WY-2Qnp9I/edit?usp=share_link"",""กระบี่!J288"")
+IMPORTRANGE(""https://docs.google.com/spreadsheets/d/1FbzMZY_f3MDiEuK7RpCQKrilJ_kpX0Wm7QBZ1L7EjIU/edit?usp=share_link"&amp;""",""ชุมพร!J288"")+IMPORTRANGE(""https://docs.google.com/spreadsheets/d/1v5sN-00LrXuhBxw4dkh2GrG_z4l5oAqOdJRBCsUyMaM/edit?usp=share_link"",""ตรัง!J288"")+IMPORTRANGE(""https://docs.google.com/spreadsheets/d/1T5rRTzFc79aSIvqnzkZNvwPstq829QYz_xALlO1Z0s8/edi"&amp;"t?usp=share_link"",""นครศรีธรรมราช!J288"")+IMPORTRANGE(""https://docs.google.com/spreadsheets/d/1BeghqumK0IvCmRd2QOy6_afsZq7ZtAGrSnVJy2u7WmY/edit?usp=share_link"",""นราธิวาส!J288"")+IMPORTRANGE(""https://docs.google.com/spreadsheets/d/1IwnW3-jjRf74MCLW-6P"&amp;"iFwMUffRQXZwZA7YM609NmRc/edit?usp=share_link"",""ปัตตานี!J288"")+IMPORTRANGE(""https://docs.google.com/spreadsheets/d/1vl4QWbWdFruual5o_wdo6ZSqXZ_it806oja4CctTLKs/edit?usp=share_link"",""พังงา!J288"")+IMPORTRANGE(""https://docs.google.com/spreadsheets/d/1"&amp;"b6QssHQp2FoAPSMKHOy273KNzAomaIKhtdlvuZ_zDNE/edit?usp=share_link"",""พัทลุง!J288"")+IMPORTRANGE(""https://docs.google.com/spreadsheets/d/1o7UZe4_OqlqtLDHrj01Z2YFRSZDf1DMy1n3XViHaxRc/edit?usp=share_link"",""ภูเก็ต!J288"")+IMPORTRANGE(""https://docs.google.c"&amp;"om/spreadsheets/d/1ctPm1vUzcUCPuOj9-eoHUD85PqINFqUB0TjdSWmR5-c/edit?usp=share_link"",""ยะลา!J288"")+IMPORTRANGE(""https://docs.google.com/spreadsheets/d/1YiDIE7Klmt8osgdapRqYWNr7iPGFSsiJqq46S7PYRE0/edit?usp=share_link"",""ระนอง!J288"")+IMPORTRANGE(""https"&amp;"://docs.google.com/spreadsheets/d/16o_4B-V7AWw_6E93bSpXj_XxVv1oVQctk-B6z1dNEWU/edit?usp=share_link"",""สงขลา!J288"")+IMPORTRANGE(""https://docs.google.com/spreadsheets/d/16cywr71Fj4fA5OGRHsZh30ZG2gwJhMAQv69oVBzYHv0/edit?usp=share_link"",""สตูล!J288"")+IMP"&amp;"ORTRANGE(""https://docs.google.com/spreadsheets/d/1vO9Sws6kMtrVtyvrAJptINXjK8TFBoX9xLYOVK_C8bQ/edit?usp=share_link"",""สุราษฎร์ธานี!J288"")"),25)</f>
        <v>25</v>
      </c>
      <c r="K288" s="411">
        <f t="shared" ca="1" si="154"/>
        <v>125</v>
      </c>
      <c r="L288" s="162"/>
      <c r="M288" s="162"/>
      <c r="N288" s="162"/>
      <c r="O288" s="162"/>
      <c r="P288" s="162"/>
    </row>
    <row r="289" spans="1:26" ht="20.25" customHeight="1">
      <c r="A289" s="169"/>
      <c r="B289" s="170"/>
      <c r="C289" s="170"/>
      <c r="D289" s="412"/>
      <c r="E289" s="413" t="s">
        <v>131</v>
      </c>
      <c r="F289" s="177"/>
      <c r="G289" s="178"/>
      <c r="H289" s="181"/>
      <c r="I289" s="183"/>
      <c r="J289" s="269"/>
      <c r="K289" s="162"/>
      <c r="L289" s="162"/>
      <c r="M289" s="162"/>
      <c r="N289" s="162"/>
      <c r="O289" s="162"/>
      <c r="P289" s="162"/>
    </row>
    <row r="290" spans="1:26" ht="20.25" customHeight="1">
      <c r="A290" s="169"/>
      <c r="B290" s="170"/>
      <c r="C290" s="170"/>
      <c r="D290" s="412"/>
      <c r="E290" s="410" t="s">
        <v>132</v>
      </c>
      <c r="F290" s="177"/>
      <c r="G290" s="178"/>
      <c r="H290" s="181" t="s">
        <v>35</v>
      </c>
      <c r="I290" s="183">
        <f ca="1">IFERROR(__xludf.DUMMYFUNCTION("IMPORTRANGE(""https://docs.google.com/spreadsheets/d/1kC41EOXpGBFOW658Fs3oD8beYlym0-zO54WY-2Qnp9I/edit?usp=share_link"",""กระบี่!I290"")
+IMPORTRANGE(""https://docs.google.com/spreadsheets/d/1FbzMZY_f3MDiEuK7RpCQKrilJ_kpX0Wm7QBZ1L7EjIU/edit?usp=share_link"&amp;""",""ชุมพร!I290"")+IMPORTRANGE(""https://docs.google.com/spreadsheets/d/1v5sN-00LrXuhBxw4dkh2GrG_z4l5oAqOdJRBCsUyMaM/edit?usp=share_link"",""ตรัง!I290"")+IMPORTRANGE(""https://docs.google.com/spreadsheets/d/1T5rRTzFc79aSIvqnzkZNvwPstq829QYz_xALlO1Z0s8/edi"&amp;"t?usp=share_link"",""นครศรีธรรมราช!I290"")+IMPORTRANGE(""https://docs.google.com/spreadsheets/d/1BeghqumK0IvCmRd2QOy6_afsZq7ZtAGrSnVJy2u7WmY/edit?usp=share_link"",""นราธิวาส!I290"")+IMPORTRANGE(""https://docs.google.com/spreadsheets/d/1IwnW3-jjRf74MCLW-6P"&amp;"iFwMUffRQXZwZA7YM609NmRc/edit?usp=share_link"",""ปัตตานี!I290"")+IMPORTRANGE(""https://docs.google.com/spreadsheets/d/1vl4QWbWdFruual5o_wdo6ZSqXZ_it806oja4CctTLKs/edit?usp=share_link"",""พังงา!I290"")+IMPORTRANGE(""https://docs.google.com/spreadsheets/d/1"&amp;"b6QssHQp2FoAPSMKHOy273KNzAomaIKhtdlvuZ_zDNE/edit?usp=share_link"",""พัทลุง!I290"")+IMPORTRANGE(""https://docs.google.com/spreadsheets/d/1o7UZe4_OqlqtLDHrj01Z2YFRSZDf1DMy1n3XViHaxRc/edit?usp=share_link"",""ภูเก็ต!I290"")+IMPORTRANGE(""https://docs.google.c"&amp;"om/spreadsheets/d/1ctPm1vUzcUCPuOj9-eoHUD85PqINFqUB0TjdSWmR5-c/edit?usp=share_link"",""ยะลา!I290"")+IMPORTRANGE(""https://docs.google.com/spreadsheets/d/1YiDIE7Klmt8osgdapRqYWNr7iPGFSsiJqq46S7PYRE0/edit?usp=share_link"",""ระนอง!I290"")+IMPORTRANGE(""https"&amp;"://docs.google.com/spreadsheets/d/16o_4B-V7AWw_6E93bSpXj_XxVv1oVQctk-B6z1dNEWU/edit?usp=share_link"",""สงขลา!I290"")+IMPORTRANGE(""https://docs.google.com/spreadsheets/d/16cywr71Fj4fA5OGRHsZh30ZG2gwJhMAQv69oVBzYHv0/edit?usp=share_link"",""สตูล!I290"")+IMP"&amp;"ORTRANGE(""https://docs.google.com/spreadsheets/d/1vO9Sws6kMtrVtyvrAJptINXjK8TFBoX9xLYOVK_C8bQ/edit?usp=share_link"",""สุราษฎร์ธานี!I290"")"),20)</f>
        <v>20</v>
      </c>
      <c r="J290" s="182">
        <f ca="1">IFERROR(__xludf.DUMMYFUNCTION("IMPORTRANGE(""https://docs.google.com/spreadsheets/d/1kC41EOXpGBFOW658Fs3oD8beYlym0-zO54WY-2Qnp9I/edit?usp=share_link"",""กระบี่!J290"")
+IMPORTRANGE(""https://docs.google.com/spreadsheets/d/1FbzMZY_f3MDiEuK7RpCQKrilJ_kpX0Wm7QBZ1L7EjIU/edit?usp=share_link"&amp;""",""ชุมพร!J290"")+IMPORTRANGE(""https://docs.google.com/spreadsheets/d/1v5sN-00LrXuhBxw4dkh2GrG_z4l5oAqOdJRBCsUyMaM/edit?usp=share_link"",""ตรัง!J290"")+IMPORTRANGE(""https://docs.google.com/spreadsheets/d/1T5rRTzFc79aSIvqnzkZNvwPstq829QYz_xALlO1Z0s8/edi"&amp;"t?usp=share_link"",""นครศรีธรรมราช!J290"")+IMPORTRANGE(""https://docs.google.com/spreadsheets/d/1BeghqumK0IvCmRd2QOy6_afsZq7ZtAGrSnVJy2u7WmY/edit?usp=share_link"",""นราธิวาส!J290"")+IMPORTRANGE(""https://docs.google.com/spreadsheets/d/1IwnW3-jjRf74MCLW-6P"&amp;"iFwMUffRQXZwZA7YM609NmRc/edit?usp=share_link"",""ปัตตานี!J290"")+IMPORTRANGE(""https://docs.google.com/spreadsheets/d/1vl4QWbWdFruual5o_wdo6ZSqXZ_it806oja4CctTLKs/edit?usp=share_link"",""พังงา!J290"")+IMPORTRANGE(""https://docs.google.com/spreadsheets/d/1"&amp;"b6QssHQp2FoAPSMKHOy273KNzAomaIKhtdlvuZ_zDNE/edit?usp=share_link"",""พัทลุง!J290"")+IMPORTRANGE(""https://docs.google.com/spreadsheets/d/1o7UZe4_OqlqtLDHrj01Z2YFRSZDf1DMy1n3XViHaxRc/edit?usp=share_link"",""ภูเก็ต!J290"")+IMPORTRANGE(""https://docs.google.c"&amp;"om/spreadsheets/d/1ctPm1vUzcUCPuOj9-eoHUD85PqINFqUB0TjdSWmR5-c/edit?usp=share_link"",""ยะลา!J290"")+IMPORTRANGE(""https://docs.google.com/spreadsheets/d/1YiDIE7Klmt8osgdapRqYWNr7iPGFSsiJqq46S7PYRE0/edit?usp=share_link"",""ระนอง!J290"")+IMPORTRANGE(""https"&amp;"://docs.google.com/spreadsheets/d/16o_4B-V7AWw_6E93bSpXj_XxVv1oVQctk-B6z1dNEWU/edit?usp=share_link"",""สงขลา!J290"")+IMPORTRANGE(""https://docs.google.com/spreadsheets/d/16cywr71Fj4fA5OGRHsZh30ZG2gwJhMAQv69oVBzYHv0/edit?usp=share_link"",""สตูล!J290"")+IMP"&amp;"ORTRANGE(""https://docs.google.com/spreadsheets/d/1vO9Sws6kMtrVtyvrAJptINXjK8TFBoX9xLYOVK_C8bQ/edit?usp=share_link"",""สุราษฎร์ธานี!J290"")"),25)</f>
        <v>25</v>
      </c>
      <c r="K290" s="162">
        <f t="shared" ref="K290:K291" ca="1" si="155">IF(I290&gt;0,J290*100/I290,0)</f>
        <v>125</v>
      </c>
      <c r="L290" s="162"/>
      <c r="M290" s="162"/>
      <c r="N290" s="162"/>
      <c r="O290" s="162"/>
      <c r="P290" s="162"/>
    </row>
    <row r="291" spans="1:26" ht="20.25" customHeight="1">
      <c r="A291" s="169"/>
      <c r="B291" s="170"/>
      <c r="C291" s="170"/>
      <c r="D291" s="177"/>
      <c r="E291" s="410" t="s">
        <v>133</v>
      </c>
      <c r="F291" s="177"/>
      <c r="G291" s="178"/>
      <c r="H291" s="181" t="s">
        <v>35</v>
      </c>
      <c r="I291" s="183">
        <f ca="1">IFERROR(__xludf.DUMMYFUNCTION("IMPORTRANGE(""https://docs.google.com/spreadsheets/d/1kC41EOXpGBFOW658Fs3oD8beYlym0-zO54WY-2Qnp9I/edit?usp=share_link"",""กระบี่!I291"")
+IMPORTRANGE(""https://docs.google.com/spreadsheets/d/1FbzMZY_f3MDiEuK7RpCQKrilJ_kpX0Wm7QBZ1L7EjIU/edit?usp=share_link"&amp;""",""ชุมพร!I291"")+IMPORTRANGE(""https://docs.google.com/spreadsheets/d/1v5sN-00LrXuhBxw4dkh2GrG_z4l5oAqOdJRBCsUyMaM/edit?usp=share_link"",""ตรัง!I291"")+IMPORTRANGE(""https://docs.google.com/spreadsheets/d/1T5rRTzFc79aSIvqnzkZNvwPstq829QYz_xALlO1Z0s8/edi"&amp;"t?usp=share_link"",""นครศรีธรรมราช!I291"")+IMPORTRANGE(""https://docs.google.com/spreadsheets/d/1BeghqumK0IvCmRd2QOy6_afsZq7ZtAGrSnVJy2u7WmY/edit?usp=share_link"",""นราธิวาส!I291"")+IMPORTRANGE(""https://docs.google.com/spreadsheets/d/1IwnW3-jjRf74MCLW-6P"&amp;"iFwMUffRQXZwZA7YM609NmRc/edit?usp=share_link"",""ปัตตานี!I291"")+IMPORTRANGE(""https://docs.google.com/spreadsheets/d/1vl4QWbWdFruual5o_wdo6ZSqXZ_it806oja4CctTLKs/edit?usp=share_link"",""พังงา!I291"")+IMPORTRANGE(""https://docs.google.com/spreadsheets/d/1"&amp;"b6QssHQp2FoAPSMKHOy273KNzAomaIKhtdlvuZ_zDNE/edit?usp=share_link"",""พัทลุง!I291"")+IMPORTRANGE(""https://docs.google.com/spreadsheets/d/1o7UZe4_OqlqtLDHrj01Z2YFRSZDf1DMy1n3XViHaxRc/edit?usp=share_link"",""ภูเก็ต!I291"")+IMPORTRANGE(""https://docs.google.c"&amp;"om/spreadsheets/d/1ctPm1vUzcUCPuOj9-eoHUD85PqINFqUB0TjdSWmR5-c/edit?usp=share_link"",""ยะลา!I291"")+IMPORTRANGE(""https://docs.google.com/spreadsheets/d/1YiDIE7Klmt8osgdapRqYWNr7iPGFSsiJqq46S7PYRE0/edit?usp=share_link"",""ระนอง!I291"")+IMPORTRANGE(""https"&amp;"://docs.google.com/spreadsheets/d/16o_4B-V7AWw_6E93bSpXj_XxVv1oVQctk-B6z1dNEWU/edit?usp=share_link"",""สงขลา!I291"")+IMPORTRANGE(""https://docs.google.com/spreadsheets/d/16cywr71Fj4fA5OGRHsZh30ZG2gwJhMAQv69oVBzYHv0/edit?usp=share_link"",""สตูล!I291"")+IMP"&amp;"ORTRANGE(""https://docs.google.com/spreadsheets/d/1vO9Sws6kMtrVtyvrAJptINXjK8TFBoX9xLYOVK_C8bQ/edit?usp=share_link"",""สุราษฎร์ธานี!I291"")"),20)</f>
        <v>20</v>
      </c>
      <c r="J291" s="182">
        <f ca="1">IFERROR(__xludf.DUMMYFUNCTION("IMPORTRANGE(""https://docs.google.com/spreadsheets/d/1kC41EOXpGBFOW658Fs3oD8beYlym0-zO54WY-2Qnp9I/edit?usp=share_link"",""กระบี่!J291"")
+IMPORTRANGE(""https://docs.google.com/spreadsheets/d/1FbzMZY_f3MDiEuK7RpCQKrilJ_kpX0Wm7QBZ1L7EjIU/edit?usp=share_link"&amp;""",""ชุมพร!J291"")+IMPORTRANGE(""https://docs.google.com/spreadsheets/d/1v5sN-00LrXuhBxw4dkh2GrG_z4l5oAqOdJRBCsUyMaM/edit?usp=share_link"",""ตรัง!J291"")+IMPORTRANGE(""https://docs.google.com/spreadsheets/d/1T5rRTzFc79aSIvqnzkZNvwPstq829QYz_xALlO1Z0s8/edi"&amp;"t?usp=share_link"",""นครศรีธรรมราช!J291"")+IMPORTRANGE(""https://docs.google.com/spreadsheets/d/1BeghqumK0IvCmRd2QOy6_afsZq7ZtAGrSnVJy2u7WmY/edit?usp=share_link"",""นราธิวาส!J291"")+IMPORTRANGE(""https://docs.google.com/spreadsheets/d/1IwnW3-jjRf74MCLW-6P"&amp;"iFwMUffRQXZwZA7YM609NmRc/edit?usp=share_link"",""ปัตตานี!J291"")+IMPORTRANGE(""https://docs.google.com/spreadsheets/d/1vl4QWbWdFruual5o_wdo6ZSqXZ_it806oja4CctTLKs/edit?usp=share_link"",""พังงา!J291"")+IMPORTRANGE(""https://docs.google.com/spreadsheets/d/1"&amp;"b6QssHQp2FoAPSMKHOy273KNzAomaIKhtdlvuZ_zDNE/edit?usp=share_link"",""พัทลุง!J291"")+IMPORTRANGE(""https://docs.google.com/spreadsheets/d/1o7UZe4_OqlqtLDHrj01Z2YFRSZDf1DMy1n3XViHaxRc/edit?usp=share_link"",""ภูเก็ต!J291"")+IMPORTRANGE(""https://docs.google.c"&amp;"om/spreadsheets/d/1ctPm1vUzcUCPuOj9-eoHUD85PqINFqUB0TjdSWmR5-c/edit?usp=share_link"",""ยะลา!J291"")+IMPORTRANGE(""https://docs.google.com/spreadsheets/d/1YiDIE7Klmt8osgdapRqYWNr7iPGFSsiJqq46S7PYRE0/edit?usp=share_link"",""ระนอง!J291"")+IMPORTRANGE(""https"&amp;"://docs.google.com/spreadsheets/d/16o_4B-V7AWw_6E93bSpXj_XxVv1oVQctk-B6z1dNEWU/edit?usp=share_link"",""สงขลา!J291"")+IMPORTRANGE(""https://docs.google.com/spreadsheets/d/16cywr71Fj4fA5OGRHsZh30ZG2gwJhMAQv69oVBzYHv0/edit?usp=share_link"",""สตูล!J291"")+IMP"&amp;"ORTRANGE(""https://docs.google.com/spreadsheets/d/1vO9Sws6kMtrVtyvrAJptINXjK8TFBoX9xLYOVK_C8bQ/edit?usp=share_link"",""สุราษฎร์ธานี!J291"")"),25)</f>
        <v>25</v>
      </c>
      <c r="K291" s="162">
        <f t="shared" ca="1" si="155"/>
        <v>125</v>
      </c>
      <c r="L291" s="162"/>
      <c r="M291" s="162"/>
      <c r="N291" s="162"/>
      <c r="O291" s="162"/>
      <c r="P291" s="162"/>
    </row>
    <row r="292" spans="1:26" ht="20.25" customHeight="1">
      <c r="A292" s="414"/>
      <c r="B292" s="415"/>
      <c r="C292" s="415"/>
      <c r="D292" s="416"/>
      <c r="E292" s="417" t="s">
        <v>134</v>
      </c>
      <c r="F292" s="286"/>
      <c r="G292" s="287"/>
      <c r="H292" s="418"/>
      <c r="I292" s="419"/>
      <c r="J292" s="420"/>
      <c r="K292" s="279"/>
      <c r="L292" s="279"/>
      <c r="M292" s="279"/>
      <c r="N292" s="279"/>
      <c r="O292" s="279"/>
      <c r="P292" s="279"/>
    </row>
    <row r="293" spans="1:26" ht="20.25" customHeight="1">
      <c r="A293" s="169"/>
      <c r="B293" s="170"/>
      <c r="C293" s="170"/>
      <c r="D293" s="412"/>
      <c r="E293" s="410" t="s">
        <v>135</v>
      </c>
      <c r="F293" s="177"/>
      <c r="G293" s="178"/>
      <c r="H293" s="181" t="s">
        <v>35</v>
      </c>
      <c r="I293" s="183">
        <f ca="1">IFERROR(__xludf.DUMMYFUNCTION("IMPORTRANGE(""https://docs.google.com/spreadsheets/d/1kC41EOXpGBFOW658Fs3oD8beYlym0-zO54WY-2Qnp9I/edit?usp=share_link"",""กระบี่!I293"")
+IMPORTRANGE(""https://docs.google.com/spreadsheets/d/1FbzMZY_f3MDiEuK7RpCQKrilJ_kpX0Wm7QBZ1L7EjIU/edit?usp=share_link"&amp;""",""ชุมพร!I293"")+IMPORTRANGE(""https://docs.google.com/spreadsheets/d/1v5sN-00LrXuhBxw4dkh2GrG_z4l5oAqOdJRBCsUyMaM/edit?usp=share_link"",""ตรัง!I293"")+IMPORTRANGE(""https://docs.google.com/spreadsheets/d/1T5rRTzFc79aSIvqnzkZNvwPstq829QYz_xALlO1Z0s8/edi"&amp;"t?usp=share_link"",""นครศรีธรรมราช!I293"")+IMPORTRANGE(""https://docs.google.com/spreadsheets/d/1BeghqumK0IvCmRd2QOy6_afsZq7ZtAGrSnVJy2u7WmY/edit?usp=share_link"",""นราธิวาส!I293"")+IMPORTRANGE(""https://docs.google.com/spreadsheets/d/1IwnW3-jjRf74MCLW-6P"&amp;"iFwMUffRQXZwZA7YM609NmRc/edit?usp=share_link"",""ปัตตานี!I293"")+IMPORTRANGE(""https://docs.google.com/spreadsheets/d/1vl4QWbWdFruual5o_wdo6ZSqXZ_it806oja4CctTLKs/edit?usp=share_link"",""พังงา!I293"")+IMPORTRANGE(""https://docs.google.com/spreadsheets/d/1"&amp;"b6QssHQp2FoAPSMKHOy273KNzAomaIKhtdlvuZ_zDNE/edit?usp=share_link"",""พัทลุง!I293"")+IMPORTRANGE(""https://docs.google.com/spreadsheets/d/1o7UZe4_OqlqtLDHrj01Z2YFRSZDf1DMy1n3XViHaxRc/edit?usp=share_link"",""ภูเก็ต!I293"")+IMPORTRANGE(""https://docs.google.c"&amp;"om/spreadsheets/d/1ctPm1vUzcUCPuOj9-eoHUD85PqINFqUB0TjdSWmR5-c/edit?usp=share_link"",""ยะลา!I293"")+IMPORTRANGE(""https://docs.google.com/spreadsheets/d/1YiDIE7Klmt8osgdapRqYWNr7iPGFSsiJqq46S7PYRE0/edit?usp=share_link"",""ระนอง!I293"")+IMPORTRANGE(""https"&amp;"://docs.google.com/spreadsheets/d/16o_4B-V7AWw_6E93bSpXj_XxVv1oVQctk-B6z1dNEWU/edit?usp=share_link"",""สงขลา!I293"")+IMPORTRANGE(""https://docs.google.com/spreadsheets/d/16cywr71Fj4fA5OGRHsZh30ZG2gwJhMAQv69oVBzYHv0/edit?usp=share_link"",""สตูล!I293"")+IMP"&amp;"ORTRANGE(""https://docs.google.com/spreadsheets/d/1vO9Sws6kMtrVtyvrAJptINXjK8TFBoX9xLYOVK_C8bQ/edit?usp=share_link"",""สุราษฎร์ธานี!I293"")"),20)</f>
        <v>20</v>
      </c>
      <c r="J293" s="182">
        <f ca="1">IFERROR(__xludf.DUMMYFUNCTION("IMPORTRANGE(""https://docs.google.com/spreadsheets/d/1kC41EOXpGBFOW658Fs3oD8beYlym0-zO54WY-2Qnp9I/edit?usp=share_link"",""กระบี่!J293"")
+IMPORTRANGE(""https://docs.google.com/spreadsheets/d/1FbzMZY_f3MDiEuK7RpCQKrilJ_kpX0Wm7QBZ1L7EjIU/edit?usp=share_link"&amp;""",""ชุมพร!J293"")+IMPORTRANGE(""https://docs.google.com/spreadsheets/d/1v5sN-00LrXuhBxw4dkh2GrG_z4l5oAqOdJRBCsUyMaM/edit?usp=share_link"",""ตรัง!J293"")+IMPORTRANGE(""https://docs.google.com/spreadsheets/d/1T5rRTzFc79aSIvqnzkZNvwPstq829QYz_xALlO1Z0s8/edi"&amp;"t?usp=share_link"",""นครศรีธรรมราช!J293"")+IMPORTRANGE(""https://docs.google.com/spreadsheets/d/1BeghqumK0IvCmRd2QOy6_afsZq7ZtAGrSnVJy2u7WmY/edit?usp=share_link"",""นราธิวาส!J293"")+IMPORTRANGE(""https://docs.google.com/spreadsheets/d/1IwnW3-jjRf74MCLW-6P"&amp;"iFwMUffRQXZwZA7YM609NmRc/edit?usp=share_link"",""ปัตตานี!J293"")+IMPORTRANGE(""https://docs.google.com/spreadsheets/d/1vl4QWbWdFruual5o_wdo6ZSqXZ_it806oja4CctTLKs/edit?usp=share_link"",""พังงา!J293"")+IMPORTRANGE(""https://docs.google.com/spreadsheets/d/1"&amp;"b6QssHQp2FoAPSMKHOy273KNzAomaIKhtdlvuZ_zDNE/edit?usp=share_link"",""พัทลุง!J293"")+IMPORTRANGE(""https://docs.google.com/spreadsheets/d/1o7UZe4_OqlqtLDHrj01Z2YFRSZDf1DMy1n3XViHaxRc/edit?usp=share_link"",""ภูเก็ต!J293"")+IMPORTRANGE(""https://docs.google.c"&amp;"om/spreadsheets/d/1ctPm1vUzcUCPuOj9-eoHUD85PqINFqUB0TjdSWmR5-c/edit?usp=share_link"",""ยะลา!J293"")+IMPORTRANGE(""https://docs.google.com/spreadsheets/d/1YiDIE7Klmt8osgdapRqYWNr7iPGFSsiJqq46S7PYRE0/edit?usp=share_link"",""ระนอง!J293"")+IMPORTRANGE(""https"&amp;"://docs.google.com/spreadsheets/d/16o_4B-V7AWw_6E93bSpXj_XxVv1oVQctk-B6z1dNEWU/edit?usp=share_link"",""สงขลา!J293"")+IMPORTRANGE(""https://docs.google.com/spreadsheets/d/16cywr71Fj4fA5OGRHsZh30ZG2gwJhMAQv69oVBzYHv0/edit?usp=share_link"",""สตูล!J293"")+IMP"&amp;"ORTRANGE(""https://docs.google.com/spreadsheets/d/1vO9Sws6kMtrVtyvrAJptINXjK8TFBoX9xLYOVK_C8bQ/edit?usp=share_link"",""สุราษฎร์ธานี!J293"")"),25)</f>
        <v>25</v>
      </c>
      <c r="K293" s="162">
        <f t="shared" ref="K293:K294" ca="1" si="156">IF(I293&gt;0,J293*100/I293,0)</f>
        <v>125</v>
      </c>
      <c r="L293" s="162"/>
      <c r="M293" s="162"/>
      <c r="N293" s="162"/>
      <c r="O293" s="162"/>
      <c r="P293" s="162"/>
    </row>
    <row r="294" spans="1:26" ht="20.25" customHeight="1">
      <c r="A294" s="377"/>
      <c r="B294" s="378"/>
      <c r="C294" s="378"/>
      <c r="D294" s="380"/>
      <c r="E294" s="421" t="s">
        <v>136</v>
      </c>
      <c r="F294" s="380"/>
      <c r="G294" s="381"/>
      <c r="H294" s="422" t="s">
        <v>35</v>
      </c>
      <c r="I294" s="423">
        <f ca="1">IFERROR(__xludf.DUMMYFUNCTION("IMPORTRANGE(""https://docs.google.com/spreadsheets/d/1kC41EOXpGBFOW658Fs3oD8beYlym0-zO54WY-2Qnp9I/edit?usp=share_link"",""กระบี่!I294"")
+IMPORTRANGE(""https://docs.google.com/spreadsheets/d/1FbzMZY_f3MDiEuK7RpCQKrilJ_kpX0Wm7QBZ1L7EjIU/edit?usp=share_link"&amp;""",""ชุมพร!I294"")+IMPORTRANGE(""https://docs.google.com/spreadsheets/d/1v5sN-00LrXuhBxw4dkh2GrG_z4l5oAqOdJRBCsUyMaM/edit?usp=share_link"",""ตรัง!I294"")+IMPORTRANGE(""https://docs.google.com/spreadsheets/d/1T5rRTzFc79aSIvqnzkZNvwPstq829QYz_xALlO1Z0s8/edi"&amp;"t?usp=share_link"",""นครศรีธรรมราช!I294"")+IMPORTRANGE(""https://docs.google.com/spreadsheets/d/1BeghqumK0IvCmRd2QOy6_afsZq7ZtAGrSnVJy2u7WmY/edit?usp=share_link"",""นราธิวาส!I294"")+IMPORTRANGE(""https://docs.google.com/spreadsheets/d/1IwnW3-jjRf74MCLW-6P"&amp;"iFwMUffRQXZwZA7YM609NmRc/edit?usp=share_link"",""ปัตตานี!I294"")+IMPORTRANGE(""https://docs.google.com/spreadsheets/d/1vl4QWbWdFruual5o_wdo6ZSqXZ_it806oja4CctTLKs/edit?usp=share_link"",""พังงา!I294"")+IMPORTRANGE(""https://docs.google.com/spreadsheets/d/1"&amp;"b6QssHQp2FoAPSMKHOy273KNzAomaIKhtdlvuZ_zDNE/edit?usp=share_link"",""พัทลุง!I294"")+IMPORTRANGE(""https://docs.google.com/spreadsheets/d/1o7UZe4_OqlqtLDHrj01Z2YFRSZDf1DMy1n3XViHaxRc/edit?usp=share_link"",""ภูเก็ต!I294"")+IMPORTRANGE(""https://docs.google.c"&amp;"om/spreadsheets/d/1ctPm1vUzcUCPuOj9-eoHUD85PqINFqUB0TjdSWmR5-c/edit?usp=share_link"",""ยะลา!I294"")+IMPORTRANGE(""https://docs.google.com/spreadsheets/d/1YiDIE7Klmt8osgdapRqYWNr7iPGFSsiJqq46S7PYRE0/edit?usp=share_link"",""ระนอง!I294"")+IMPORTRANGE(""https"&amp;"://docs.google.com/spreadsheets/d/16o_4B-V7AWw_6E93bSpXj_XxVv1oVQctk-B6z1dNEWU/edit?usp=share_link"",""สงขลา!I294"")+IMPORTRANGE(""https://docs.google.com/spreadsheets/d/16cywr71Fj4fA5OGRHsZh30ZG2gwJhMAQv69oVBzYHv0/edit?usp=share_link"",""สตูล!I294"")+IMP"&amp;"ORTRANGE(""https://docs.google.com/spreadsheets/d/1vO9Sws6kMtrVtyvrAJptINXjK8TFBoX9xLYOVK_C8bQ/edit?usp=share_link"",""สุราษฎร์ธานี!I294"")"),20)</f>
        <v>20</v>
      </c>
      <c r="J294" s="424">
        <f ca="1">IFERROR(__xludf.DUMMYFUNCTION("IMPORTRANGE(""https://docs.google.com/spreadsheets/d/1kC41EOXpGBFOW658Fs3oD8beYlym0-zO54WY-2Qnp9I/edit?usp=share_link"",""กระบี่!J294"")
+IMPORTRANGE(""https://docs.google.com/spreadsheets/d/1FbzMZY_f3MDiEuK7RpCQKrilJ_kpX0Wm7QBZ1L7EjIU/edit?usp=share_link"&amp;""",""ชุมพร!J294"")+IMPORTRANGE(""https://docs.google.com/spreadsheets/d/1v5sN-00LrXuhBxw4dkh2GrG_z4l5oAqOdJRBCsUyMaM/edit?usp=share_link"",""ตรัง!J294"")+IMPORTRANGE(""https://docs.google.com/spreadsheets/d/1T5rRTzFc79aSIvqnzkZNvwPstq829QYz_xALlO1Z0s8/edi"&amp;"t?usp=share_link"",""นครศรีธรรมราช!J294"")+IMPORTRANGE(""https://docs.google.com/spreadsheets/d/1BeghqumK0IvCmRd2QOy6_afsZq7ZtAGrSnVJy2u7WmY/edit?usp=share_link"",""นราธิวาส!J294"")+IMPORTRANGE(""https://docs.google.com/spreadsheets/d/1IwnW3-jjRf74MCLW-6P"&amp;"iFwMUffRQXZwZA7YM609NmRc/edit?usp=share_link"",""ปัตตานี!J294"")+IMPORTRANGE(""https://docs.google.com/spreadsheets/d/1vl4QWbWdFruual5o_wdo6ZSqXZ_it806oja4CctTLKs/edit?usp=share_link"",""พังงา!J294"")+IMPORTRANGE(""https://docs.google.com/spreadsheets/d/1"&amp;"b6QssHQp2FoAPSMKHOy273KNzAomaIKhtdlvuZ_zDNE/edit?usp=share_link"",""พัทลุง!J294"")+IMPORTRANGE(""https://docs.google.com/spreadsheets/d/1o7UZe4_OqlqtLDHrj01Z2YFRSZDf1DMy1n3XViHaxRc/edit?usp=share_link"",""ภูเก็ต!J294"")+IMPORTRANGE(""https://docs.google.c"&amp;"om/spreadsheets/d/1ctPm1vUzcUCPuOj9-eoHUD85PqINFqUB0TjdSWmR5-c/edit?usp=share_link"",""ยะลา!J294"")+IMPORTRANGE(""https://docs.google.com/spreadsheets/d/1YiDIE7Klmt8osgdapRqYWNr7iPGFSsiJqq46S7PYRE0/edit?usp=share_link"",""ระนอง!J294"")+IMPORTRANGE(""https"&amp;"://docs.google.com/spreadsheets/d/16o_4B-V7AWw_6E93bSpXj_XxVv1oVQctk-B6z1dNEWU/edit?usp=share_link"",""สงขลา!J294"")+IMPORTRANGE(""https://docs.google.com/spreadsheets/d/16cywr71Fj4fA5OGRHsZh30ZG2gwJhMAQv69oVBzYHv0/edit?usp=share_link"",""สตูล!J294"")+IMP"&amp;"ORTRANGE(""https://docs.google.com/spreadsheets/d/1vO9Sws6kMtrVtyvrAJptINXjK8TFBoX9xLYOVK_C8bQ/edit?usp=share_link"",""สุราษฎร์ธานี!J294"")"),25)</f>
        <v>25</v>
      </c>
      <c r="K294" s="384">
        <f t="shared" ca="1" si="156"/>
        <v>125</v>
      </c>
      <c r="L294" s="384"/>
      <c r="M294" s="384"/>
      <c r="N294" s="384"/>
      <c r="O294" s="384"/>
      <c r="P294" s="384"/>
    </row>
    <row r="295" spans="1:26" ht="20.25" customHeight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20.25" customHeight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20.25" customHeight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57">I309</f>
        <v>100</v>
      </c>
      <c r="J297" s="444">
        <f t="shared" ca="1" si="157"/>
        <v>100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20.25" customHeight="1">
      <c r="A298" s="146"/>
      <c r="B298" s="147"/>
      <c r="C298" s="148" t="s">
        <v>16</v>
      </c>
      <c r="D298" s="149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58">L299+L300</f>
        <v>412000</v>
      </c>
      <c r="M298" s="154">
        <f t="shared" ca="1" si="158"/>
        <v>459000</v>
      </c>
      <c r="N298" s="154">
        <f t="shared" ca="1" si="158"/>
        <v>459000</v>
      </c>
      <c r="O298" s="154">
        <f t="shared" ref="O298:O306" ca="1" si="159">IF(L298&gt;0,N298*100/L298,0)</f>
        <v>111.40776699029126</v>
      </c>
      <c r="P298" s="154">
        <f t="shared" ref="P298:P306" ca="1" si="160">IF(M298&gt;0,N298*100/M298,0)</f>
        <v>100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20.25" hidden="1" customHeight="1">
      <c r="A299" s="155"/>
      <c r="B299" s="39"/>
      <c r="C299" s="39"/>
      <c r="D299" s="39"/>
      <c r="E299" s="40" t="s">
        <v>18</v>
      </c>
      <c r="F299" s="39"/>
      <c r="G299" s="156"/>
      <c r="H299" s="157" t="s">
        <v>12</v>
      </c>
      <c r="I299" s="43"/>
      <c r="J299" s="43"/>
      <c r="K299" s="44"/>
      <c r="L299" s="44">
        <f t="shared" ref="L299:N299" si="161">L302+L305</f>
        <v>0</v>
      </c>
      <c r="M299" s="44">
        <f t="shared" si="161"/>
        <v>0</v>
      </c>
      <c r="N299" s="44">
        <f t="shared" si="161"/>
        <v>0</v>
      </c>
      <c r="O299" s="44">
        <f t="shared" si="159"/>
        <v>0</v>
      </c>
      <c r="P299" s="44">
        <f t="shared" si="160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0.25" hidden="1" customHeight="1">
      <c r="A300" s="155"/>
      <c r="B300" s="39"/>
      <c r="C300" s="39"/>
      <c r="D300" s="39"/>
      <c r="E300" s="40" t="s">
        <v>19</v>
      </c>
      <c r="F300" s="39"/>
      <c r="G300" s="156"/>
      <c r="H300" s="157" t="s">
        <v>12</v>
      </c>
      <c r="I300" s="43"/>
      <c r="J300" s="43"/>
      <c r="K300" s="44"/>
      <c r="L300" s="44">
        <f t="shared" ref="L300:N300" ca="1" si="162">L303+L306</f>
        <v>412000</v>
      </c>
      <c r="M300" s="44">
        <f t="shared" ca="1" si="162"/>
        <v>459000</v>
      </c>
      <c r="N300" s="44">
        <f t="shared" ca="1" si="162"/>
        <v>459000</v>
      </c>
      <c r="O300" s="44">
        <f t="shared" ca="1" si="159"/>
        <v>111.40776699029126</v>
      </c>
      <c r="P300" s="44">
        <f t="shared" ca="1" si="160"/>
        <v>100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0.25" customHeight="1">
      <c r="A301" s="158"/>
      <c r="B301" s="32"/>
      <c r="C301" s="159"/>
      <c r="D301" s="33" t="s">
        <v>20</v>
      </c>
      <c r="E301" s="32"/>
      <c r="F301" s="32"/>
      <c r="G301" s="34"/>
      <c r="H301" s="160" t="s">
        <v>12</v>
      </c>
      <c r="I301" s="161"/>
      <c r="J301" s="161"/>
      <c r="K301" s="162"/>
      <c r="L301" s="37">
        <f t="shared" ref="L301:N301" ca="1" si="163">L302+L303</f>
        <v>412000</v>
      </c>
      <c r="M301" s="37">
        <f t="shared" ca="1" si="163"/>
        <v>459000</v>
      </c>
      <c r="N301" s="37">
        <f t="shared" ca="1" si="163"/>
        <v>459000</v>
      </c>
      <c r="O301" s="37">
        <f t="shared" ca="1" si="159"/>
        <v>111.40776699029126</v>
      </c>
      <c r="P301" s="37">
        <f t="shared" ca="1" si="160"/>
        <v>100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20.25" hidden="1" customHeight="1">
      <c r="A302" s="155"/>
      <c r="B302" s="39"/>
      <c r="C302" s="163"/>
      <c r="D302" s="39"/>
      <c r="E302" s="40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44">
        <f t="shared" si="159"/>
        <v>0</v>
      </c>
      <c r="P302" s="44">
        <f t="shared" si="160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0.25" hidden="1" customHeight="1">
      <c r="A303" s="155"/>
      <c r="B303" s="39"/>
      <c r="C303" s="163"/>
      <c r="D303" s="39"/>
      <c r="E303" s="40" t="s">
        <v>37</v>
      </c>
      <c r="F303" s="39"/>
      <c r="G303" s="156"/>
      <c r="H303" s="164" t="s">
        <v>12</v>
      </c>
      <c r="I303" s="165"/>
      <c r="J303" s="165"/>
      <c r="K303" s="166"/>
      <c r="L303" s="44">
        <f ca="1">IFERROR(__xludf.DUMMYFUNCTION("IMPORTRANGE(""https://docs.google.com/spreadsheets/d/1kC41EOXpGBFOW658Fs3oD8beYlym0-zO54WY-2Qnp9I/edit?usp=share_link"",""กระบี่!L303"")
+IMPORTRANGE(""https://docs.google.com/spreadsheets/d/1FbzMZY_f3MDiEuK7RpCQKrilJ_kpX0Wm7QBZ1L7EjIU/edit?usp=share_link"&amp;""",""ชุมพร!L303"")+IMPORTRANGE(""https://docs.google.com/spreadsheets/d/1v5sN-00LrXuhBxw4dkh2GrG_z4l5oAqOdJRBCsUyMaM/edit?usp=share_link"",""ตรัง!L303"")+IMPORTRANGE(""https://docs.google.com/spreadsheets/d/1T5rRTzFc79aSIvqnzkZNvwPstq829QYz_xALlO1Z0s8/edi"&amp;"t?usp=share_link"",""นครศรีธรรมราช!L303"")+IMPORTRANGE(""https://docs.google.com/spreadsheets/d/1BeghqumK0IvCmRd2QOy6_afsZq7ZtAGrSnVJy2u7WmY/edit?usp=share_link"",""นราธิวาส!L303"")+IMPORTRANGE(""https://docs.google.com/spreadsheets/d/1IwnW3-jjRf74MCLW-6P"&amp;"iFwMUffRQXZwZA7YM609NmRc/edit?usp=share_link"",""ปัตตานี!L303"")+IMPORTRANGE(""https://docs.google.com/spreadsheets/d/1vl4QWbWdFruual5o_wdo6ZSqXZ_it806oja4CctTLKs/edit?usp=share_link"",""พังงา!L303"")+IMPORTRANGE(""https://docs.google.com/spreadsheets/d/1"&amp;"b6QssHQp2FoAPSMKHOy273KNzAomaIKhtdlvuZ_zDNE/edit?usp=share_link"",""พัทลุง!L303"")+IMPORTRANGE(""https://docs.google.com/spreadsheets/d/1o7UZe4_OqlqtLDHrj01Z2YFRSZDf1DMy1n3XViHaxRc/edit?usp=share_link"",""ภูเก็ต!L303"")+IMPORTRANGE(""https://docs.google.c"&amp;"om/spreadsheets/d/1ctPm1vUzcUCPuOj9-eoHUD85PqINFqUB0TjdSWmR5-c/edit?usp=share_link"",""ยะลา!L303"")+IMPORTRANGE(""https://docs.google.com/spreadsheets/d/1YiDIE7Klmt8osgdapRqYWNr7iPGFSsiJqq46S7PYRE0/edit?usp=share_link"",""ระนอง!L303"")+IMPORTRANGE(""https"&amp;"://docs.google.com/spreadsheets/d/16o_4B-V7AWw_6E93bSpXj_XxVv1oVQctk-B6z1dNEWU/edit?usp=share_link"",""สงขลา!L303"")+IMPORTRANGE(""https://docs.google.com/spreadsheets/d/16cywr71Fj4fA5OGRHsZh30ZG2gwJhMAQv69oVBzYHv0/edit?usp=share_link"",""สตูล!L303"")+IMP"&amp;"ORTRANGE(""https://docs.google.com/spreadsheets/d/1vO9Sws6kMtrVtyvrAJptINXjK8TFBoX9xLYOVK_C8bQ/edit?usp=share_link"",""สุราษฎร์ธานี!L303"")"),412000)</f>
        <v>412000</v>
      </c>
      <c r="M303" s="44">
        <f ca="1">IFERROR(__xludf.DUMMYFUNCTION("IMPORTRANGE(""https://docs.google.com/spreadsheets/d/1kC41EOXpGBFOW658Fs3oD8beYlym0-zO54WY-2Qnp9I/edit?usp=share_link"",""กระบี่!M303"")
+IMPORTRANGE(""https://docs.google.com/spreadsheets/d/1FbzMZY_f3MDiEuK7RpCQKrilJ_kpX0Wm7QBZ1L7EjIU/edit?usp=share_link"&amp;""",""ชุมพร!M303"")+IMPORTRANGE(""https://docs.google.com/spreadsheets/d/1v5sN-00LrXuhBxw4dkh2GrG_z4l5oAqOdJRBCsUyMaM/edit?usp=share_link"",""ตรัง!M303"")+IMPORTRANGE(""https://docs.google.com/spreadsheets/d/1T5rRTzFc79aSIvqnzkZNvwPstq829QYz_xALlO1Z0s8/edi"&amp;"t?usp=share_link"",""นครศรีธรรมราช!M303"")+IMPORTRANGE(""https://docs.google.com/spreadsheets/d/1BeghqumK0IvCmRd2QOy6_afsZq7ZtAGrSnVJy2u7WmY/edit?usp=share_link"",""นราธิวาส!M303"")+IMPORTRANGE(""https://docs.google.com/spreadsheets/d/1IwnW3-jjRf74MCLW-6P"&amp;"iFwMUffRQXZwZA7YM609NmRc/edit?usp=share_link"",""ปัตตานี!M303"")+IMPORTRANGE(""https://docs.google.com/spreadsheets/d/1vl4QWbWdFruual5o_wdo6ZSqXZ_it806oja4CctTLKs/edit?usp=share_link"",""พังงา!M303"")+IMPORTRANGE(""https://docs.google.com/spreadsheets/d/1"&amp;"b6QssHQp2FoAPSMKHOy273KNzAomaIKhtdlvuZ_zDNE/edit?usp=share_link"",""พัทลุง!M303"")+IMPORTRANGE(""https://docs.google.com/spreadsheets/d/1o7UZe4_OqlqtLDHrj01Z2YFRSZDf1DMy1n3XViHaxRc/edit?usp=share_link"",""ภูเก็ต!M303"")+IMPORTRANGE(""https://docs.google.c"&amp;"om/spreadsheets/d/1ctPm1vUzcUCPuOj9-eoHUD85PqINFqUB0TjdSWmR5-c/edit?usp=share_link"",""ยะลา!M303"")+IMPORTRANGE(""https://docs.google.com/spreadsheets/d/1YiDIE7Klmt8osgdapRqYWNr7iPGFSsiJqq46S7PYRE0/edit?usp=share_link"",""ระนอง!M303"")+IMPORTRANGE(""https"&amp;"://docs.google.com/spreadsheets/d/16o_4B-V7AWw_6E93bSpXj_XxVv1oVQctk-B6z1dNEWU/edit?usp=share_link"",""สงขลา!M303"")+IMPORTRANGE(""https://docs.google.com/spreadsheets/d/16cywr71Fj4fA5OGRHsZh30ZG2gwJhMAQv69oVBzYHv0/edit?usp=share_link"",""สตูล!M303"")+IMP"&amp;"ORTRANGE(""https://docs.google.com/spreadsheets/d/1vO9Sws6kMtrVtyvrAJptINXjK8TFBoX9xLYOVK_C8bQ/edit?usp=share_link"",""สุราษฎร์ธานี!M303"")"),459000)</f>
        <v>459000</v>
      </c>
      <c r="N303" s="44">
        <f ca="1">IFERROR(__xludf.DUMMYFUNCTION("IMPORTRANGE(""https://docs.google.com/spreadsheets/d/1kC41EOXpGBFOW658Fs3oD8beYlym0-zO54WY-2Qnp9I/edit?usp=share_link"",""กระบี่!N303"")
+IMPORTRANGE(""https://docs.google.com/spreadsheets/d/1FbzMZY_f3MDiEuK7RpCQKrilJ_kpX0Wm7QBZ1L7EjIU/edit?usp=share_link"&amp;""",""ชุมพร!N303"")+IMPORTRANGE(""https://docs.google.com/spreadsheets/d/1v5sN-00LrXuhBxw4dkh2GrG_z4l5oAqOdJRBCsUyMaM/edit?usp=share_link"",""ตรัง!N303"")+IMPORTRANGE(""https://docs.google.com/spreadsheets/d/1T5rRTzFc79aSIvqnzkZNvwPstq829QYz_xALlO1Z0s8/edi"&amp;"t?usp=share_link"",""นครศรีธรรมราช!N303"")+IMPORTRANGE(""https://docs.google.com/spreadsheets/d/1BeghqumK0IvCmRd2QOy6_afsZq7ZtAGrSnVJy2u7WmY/edit?usp=share_link"",""นราธิวาส!N303"")+IMPORTRANGE(""https://docs.google.com/spreadsheets/d/1IwnW3-jjRf74MCLW-6P"&amp;"iFwMUffRQXZwZA7YM609NmRc/edit?usp=share_link"",""ปัตตานี!N303"")+IMPORTRANGE(""https://docs.google.com/spreadsheets/d/1vl4QWbWdFruual5o_wdo6ZSqXZ_it806oja4CctTLKs/edit?usp=share_link"",""พังงา!N303"")+IMPORTRANGE(""https://docs.google.com/spreadsheets/d/1"&amp;"b6QssHQp2FoAPSMKHOy273KNzAomaIKhtdlvuZ_zDNE/edit?usp=share_link"",""พัทลุง!N303"")+IMPORTRANGE(""https://docs.google.com/spreadsheets/d/1o7UZe4_OqlqtLDHrj01Z2YFRSZDf1DMy1n3XViHaxRc/edit?usp=share_link"",""ภูเก็ต!N303"")+IMPORTRANGE(""https://docs.google.c"&amp;"om/spreadsheets/d/1ctPm1vUzcUCPuOj9-eoHUD85PqINFqUB0TjdSWmR5-c/edit?usp=share_link"",""ยะลา!N303"")+IMPORTRANGE(""https://docs.google.com/spreadsheets/d/1YiDIE7Klmt8osgdapRqYWNr7iPGFSsiJqq46S7PYRE0/edit?usp=share_link"",""ระนอง!N303"")+IMPORTRANGE(""https"&amp;"://docs.google.com/spreadsheets/d/16o_4B-V7AWw_6E93bSpXj_XxVv1oVQctk-B6z1dNEWU/edit?usp=share_link"",""สงขลา!N303"")+IMPORTRANGE(""https://docs.google.com/spreadsheets/d/16cywr71Fj4fA5OGRHsZh30ZG2gwJhMAQv69oVBzYHv0/edit?usp=share_link"",""สตูล!N303"")+IMP"&amp;"ORTRANGE(""https://docs.google.com/spreadsheets/d/1vO9Sws6kMtrVtyvrAJptINXjK8TFBoX9xLYOVK_C8bQ/edit?usp=share_link"",""สุราษฎร์ธานี!N303"")"),459000)</f>
        <v>459000</v>
      </c>
      <c r="O303" s="44">
        <f t="shared" ca="1" si="159"/>
        <v>111.40776699029126</v>
      </c>
      <c r="P303" s="44">
        <f t="shared" ca="1" si="160"/>
        <v>100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0.25" customHeight="1">
      <c r="A304" s="158"/>
      <c r="B304" s="32"/>
      <c r="C304" s="159"/>
      <c r="D304" s="33" t="s">
        <v>21</v>
      </c>
      <c r="E304" s="32"/>
      <c r="F304" s="32"/>
      <c r="G304" s="34"/>
      <c r="H304" s="167" t="s">
        <v>12</v>
      </c>
      <c r="I304" s="161"/>
      <c r="J304" s="161"/>
      <c r="K304" s="162"/>
      <c r="L304" s="37">
        <f t="shared" ref="L304:N304" ca="1" si="164">L305+L306</f>
        <v>0</v>
      </c>
      <c r="M304" s="37">
        <f t="shared" ca="1" si="164"/>
        <v>0</v>
      </c>
      <c r="N304" s="37">
        <f t="shared" ca="1" si="164"/>
        <v>0</v>
      </c>
      <c r="O304" s="37">
        <f t="shared" ca="1" si="159"/>
        <v>0</v>
      </c>
      <c r="P304" s="37">
        <f t="shared" ca="1" si="160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20.25" hidden="1" customHeight="1">
      <c r="A305" s="155"/>
      <c r="B305" s="39"/>
      <c r="C305" s="163"/>
      <c r="D305" s="39"/>
      <c r="E305" s="40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44">
        <f t="shared" si="159"/>
        <v>0</v>
      </c>
      <c r="P305" s="44">
        <f t="shared" si="160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0.25" hidden="1" customHeight="1">
      <c r="A306" s="155"/>
      <c r="B306" s="39"/>
      <c r="C306" s="163"/>
      <c r="D306" s="39"/>
      <c r="E306" s="40" t="s">
        <v>19</v>
      </c>
      <c r="F306" s="39"/>
      <c r="G306" s="156"/>
      <c r="H306" s="168" t="s">
        <v>12</v>
      </c>
      <c r="I306" s="165"/>
      <c r="J306" s="165"/>
      <c r="K306" s="166"/>
      <c r="L306" s="44">
        <f ca="1">IFERROR(__xludf.DUMMYFUNCTION("IMPORTRANGE(""https://docs.google.com/spreadsheets/d/1kC41EOXpGBFOW658Fs3oD8beYlym0-zO54WY-2Qnp9I/edit?usp=share_link"",""กระบี่!L306"")
+IMPORTRANGE(""https://docs.google.com/spreadsheets/d/1FbzMZY_f3MDiEuK7RpCQKrilJ_kpX0Wm7QBZ1L7EjIU/edit?usp=share_link"&amp;""",""ชุมพร!L306"")+IMPORTRANGE(""https://docs.google.com/spreadsheets/d/1v5sN-00LrXuhBxw4dkh2GrG_z4l5oAqOdJRBCsUyMaM/edit?usp=share_link"",""ตรัง!L306"")+IMPORTRANGE(""https://docs.google.com/spreadsheets/d/1T5rRTzFc79aSIvqnzkZNvwPstq829QYz_xALlO1Z0s8/edi"&amp;"t?usp=share_link"",""นครศรีธรรมราช!L306"")+IMPORTRANGE(""https://docs.google.com/spreadsheets/d/1BeghqumK0IvCmRd2QOy6_afsZq7ZtAGrSnVJy2u7WmY/edit?usp=share_link"",""นราธิวาส!L306"")+IMPORTRANGE(""https://docs.google.com/spreadsheets/d/1IwnW3-jjRf74MCLW-6P"&amp;"iFwMUffRQXZwZA7YM609NmRc/edit?usp=share_link"",""ปัตตานี!L306"")+IMPORTRANGE(""https://docs.google.com/spreadsheets/d/1vl4QWbWdFruual5o_wdo6ZSqXZ_it806oja4CctTLKs/edit?usp=share_link"",""พังงา!L306"")+IMPORTRANGE(""https://docs.google.com/spreadsheets/d/1"&amp;"b6QssHQp2FoAPSMKHOy273KNzAomaIKhtdlvuZ_zDNE/edit?usp=share_link"",""พัทลุง!L306"")+IMPORTRANGE(""https://docs.google.com/spreadsheets/d/1o7UZe4_OqlqtLDHrj01Z2YFRSZDf1DMy1n3XViHaxRc/edit?usp=share_link"",""ภูเก็ต!L306"")+IMPORTRANGE(""https://docs.google.c"&amp;"om/spreadsheets/d/1ctPm1vUzcUCPuOj9-eoHUD85PqINFqUB0TjdSWmR5-c/edit?usp=share_link"",""ยะลา!L306"")+IMPORTRANGE(""https://docs.google.com/spreadsheets/d/1YiDIE7Klmt8osgdapRqYWNr7iPGFSsiJqq46S7PYRE0/edit?usp=share_link"",""ระนอง!L306"")+IMPORTRANGE(""https"&amp;"://docs.google.com/spreadsheets/d/16o_4B-V7AWw_6E93bSpXj_XxVv1oVQctk-B6z1dNEWU/edit?usp=share_link"",""สงขลา!L306"")+IMPORTRANGE(""https://docs.google.com/spreadsheets/d/16cywr71Fj4fA5OGRHsZh30ZG2gwJhMAQv69oVBzYHv0/edit?usp=share_link"",""สตูล!L306"")+IMP"&amp;"ORTRANGE(""https://docs.google.com/spreadsheets/d/1vO9Sws6kMtrVtyvrAJptINXjK8TFBoX9xLYOVK_C8bQ/edit?usp=share_link"",""สุราษฎร์ธานี!L306"")"),0)</f>
        <v>0</v>
      </c>
      <c r="M306" s="44">
        <f ca="1">IFERROR(__xludf.DUMMYFUNCTION("IMPORTRANGE(""https://docs.google.com/spreadsheets/d/1kC41EOXpGBFOW658Fs3oD8beYlym0-zO54WY-2Qnp9I/edit?usp=share_link"",""กระบี่!M306"")
+IMPORTRANGE(""https://docs.google.com/spreadsheets/d/1FbzMZY_f3MDiEuK7RpCQKrilJ_kpX0Wm7QBZ1L7EjIU/edit?usp=share_link"&amp;""",""ชุมพร!M306"")+IMPORTRANGE(""https://docs.google.com/spreadsheets/d/1v5sN-00LrXuhBxw4dkh2GrG_z4l5oAqOdJRBCsUyMaM/edit?usp=share_link"",""ตรัง!M306"")+IMPORTRANGE(""https://docs.google.com/spreadsheets/d/1T5rRTzFc79aSIvqnzkZNvwPstq829QYz_xALlO1Z0s8/edi"&amp;"t?usp=share_link"",""นครศรีธรรมราช!M306"")+IMPORTRANGE(""https://docs.google.com/spreadsheets/d/1BeghqumK0IvCmRd2QOy6_afsZq7ZtAGrSnVJy2u7WmY/edit?usp=share_link"",""นราธิวาส!M306"")+IMPORTRANGE(""https://docs.google.com/spreadsheets/d/1IwnW3-jjRf74MCLW-6P"&amp;"iFwMUffRQXZwZA7YM609NmRc/edit?usp=share_link"",""ปัตตานี!M306"")+IMPORTRANGE(""https://docs.google.com/spreadsheets/d/1vl4QWbWdFruual5o_wdo6ZSqXZ_it806oja4CctTLKs/edit?usp=share_link"",""พังงา!M306"")+IMPORTRANGE(""https://docs.google.com/spreadsheets/d/1"&amp;"b6QssHQp2FoAPSMKHOy273KNzAomaIKhtdlvuZ_zDNE/edit?usp=share_link"",""พัทลุง!M306"")+IMPORTRANGE(""https://docs.google.com/spreadsheets/d/1o7UZe4_OqlqtLDHrj01Z2YFRSZDf1DMy1n3XViHaxRc/edit?usp=share_link"",""ภูเก็ต!M306"")+IMPORTRANGE(""https://docs.google.c"&amp;"om/spreadsheets/d/1ctPm1vUzcUCPuOj9-eoHUD85PqINFqUB0TjdSWmR5-c/edit?usp=share_link"",""ยะลา!M306"")+IMPORTRANGE(""https://docs.google.com/spreadsheets/d/1YiDIE7Klmt8osgdapRqYWNr7iPGFSsiJqq46S7PYRE0/edit?usp=share_link"",""ระนอง!M306"")+IMPORTRANGE(""https"&amp;"://docs.google.com/spreadsheets/d/16o_4B-V7AWw_6E93bSpXj_XxVv1oVQctk-B6z1dNEWU/edit?usp=share_link"",""สงขลา!M306"")+IMPORTRANGE(""https://docs.google.com/spreadsheets/d/16cywr71Fj4fA5OGRHsZh30ZG2gwJhMAQv69oVBzYHv0/edit?usp=share_link"",""สตูล!M306"")+IMP"&amp;"ORTRANGE(""https://docs.google.com/spreadsheets/d/1vO9Sws6kMtrVtyvrAJptINXjK8TFBoX9xLYOVK_C8bQ/edit?usp=share_link"",""สุราษฎร์ธานี!M306"")"),0)</f>
        <v>0</v>
      </c>
      <c r="N306" s="44">
        <f ca="1">IFERROR(__xludf.DUMMYFUNCTION("IMPORTRANGE(""https://docs.google.com/spreadsheets/d/1kC41EOXpGBFOW658Fs3oD8beYlym0-zO54WY-2Qnp9I/edit?usp=share_link"",""กระบี่!N306"")
+IMPORTRANGE(""https://docs.google.com/spreadsheets/d/1FbzMZY_f3MDiEuK7RpCQKrilJ_kpX0Wm7QBZ1L7EjIU/edit?usp=share_link"&amp;""",""ชุมพร!N306"")+IMPORTRANGE(""https://docs.google.com/spreadsheets/d/1v5sN-00LrXuhBxw4dkh2GrG_z4l5oAqOdJRBCsUyMaM/edit?usp=share_link"",""ตรัง!N306"")+IMPORTRANGE(""https://docs.google.com/spreadsheets/d/1T5rRTzFc79aSIvqnzkZNvwPstq829QYz_xALlO1Z0s8/edi"&amp;"t?usp=share_link"",""นครศรีธรรมราช!N306"")+IMPORTRANGE(""https://docs.google.com/spreadsheets/d/1BeghqumK0IvCmRd2QOy6_afsZq7ZtAGrSnVJy2u7WmY/edit?usp=share_link"",""นราธิวาส!N306"")+IMPORTRANGE(""https://docs.google.com/spreadsheets/d/1IwnW3-jjRf74MCLW-6P"&amp;"iFwMUffRQXZwZA7YM609NmRc/edit?usp=share_link"",""ปัตตานี!N306"")+IMPORTRANGE(""https://docs.google.com/spreadsheets/d/1vl4QWbWdFruual5o_wdo6ZSqXZ_it806oja4CctTLKs/edit?usp=share_link"",""พังงา!N306"")+IMPORTRANGE(""https://docs.google.com/spreadsheets/d/1"&amp;"b6QssHQp2FoAPSMKHOy273KNzAomaIKhtdlvuZ_zDNE/edit?usp=share_link"",""พัทลุง!N306"")+IMPORTRANGE(""https://docs.google.com/spreadsheets/d/1o7UZe4_OqlqtLDHrj01Z2YFRSZDf1DMy1n3XViHaxRc/edit?usp=share_link"",""ภูเก็ต!N306"")+IMPORTRANGE(""https://docs.google.c"&amp;"om/spreadsheets/d/1ctPm1vUzcUCPuOj9-eoHUD85PqINFqUB0TjdSWmR5-c/edit?usp=share_link"",""ยะลา!N306"")+IMPORTRANGE(""https://docs.google.com/spreadsheets/d/1YiDIE7Klmt8osgdapRqYWNr7iPGFSsiJqq46S7PYRE0/edit?usp=share_link"",""ระนอง!N306"")+IMPORTRANGE(""https"&amp;"://docs.google.com/spreadsheets/d/16o_4B-V7AWw_6E93bSpXj_XxVv1oVQctk-B6z1dNEWU/edit?usp=share_link"",""สงขลา!N306"")+IMPORTRANGE(""https://docs.google.com/spreadsheets/d/16cywr71Fj4fA5OGRHsZh30ZG2gwJhMAQv69oVBzYHv0/edit?usp=share_link"",""สตูล!N306"")+IMP"&amp;"ORTRANGE(""https://docs.google.com/spreadsheets/d/1vO9Sws6kMtrVtyvrAJptINXjK8TFBoX9xLYOVK_C8bQ/edit?usp=share_link"",""สุราษฎร์ธานี!N306"")"),0)</f>
        <v>0</v>
      </c>
      <c r="O306" s="44">
        <f t="shared" ca="1" si="159"/>
        <v>0</v>
      </c>
      <c r="P306" s="44">
        <f t="shared" ca="1" si="160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0.25" customHeight="1">
      <c r="A307" s="169"/>
      <c r="B307" s="170"/>
      <c r="C307" s="163" t="s">
        <v>16</v>
      </c>
      <c r="D307" s="171" t="s">
        <v>38</v>
      </c>
      <c r="E307" s="172"/>
      <c r="F307" s="172"/>
      <c r="G307" s="173"/>
      <c r="H307" s="174"/>
      <c r="I307" s="36"/>
      <c r="J307" s="36"/>
      <c r="K307" s="37"/>
      <c r="L307" s="37"/>
      <c r="M307" s="37"/>
      <c r="N307" s="37"/>
      <c r="O307" s="37"/>
      <c r="P307" s="37"/>
    </row>
    <row r="308" spans="1:26" ht="20.25" customHeight="1">
      <c r="A308" s="169"/>
      <c r="B308" s="170"/>
      <c r="C308" s="170"/>
      <c r="D308" s="447" t="s">
        <v>140</v>
      </c>
      <c r="E308" s="176"/>
      <c r="F308" s="176"/>
      <c r="G308" s="178"/>
      <c r="H308" s="181"/>
      <c r="I308" s="36"/>
      <c r="J308" s="182">
        <f ca="1">IFERROR(__xludf.DUMMYFUNCTION("IMPORTRANGE(""https://docs.google.com/spreadsheets/d/1kC41EOXpGBFOW658Fs3oD8beYlym0-zO54WY-2Qnp9I/edit?usp=share_link"",""กระบี่!J308"")
+IMPORTRANGE(""https://docs.google.com/spreadsheets/d/1FbzMZY_f3MDiEuK7RpCQKrilJ_kpX0Wm7QBZ1L7EjIU/edit?usp=share_link"&amp;""",""ชุมพร!J308"")+IMPORTRANGE(""https://docs.google.com/spreadsheets/d/1v5sN-00LrXuhBxw4dkh2GrG_z4l5oAqOdJRBCsUyMaM/edit?usp=share_link"",""ตรัง!J308"")+IMPORTRANGE(""https://docs.google.com/spreadsheets/d/1T5rRTzFc79aSIvqnzkZNvwPstq829QYz_xALlO1Z0s8/edi"&amp;"t?usp=share_link"",""นครศรีธรรมราช!J308"")+IMPORTRANGE(""https://docs.google.com/spreadsheets/d/1BeghqumK0IvCmRd2QOy6_afsZq7ZtAGrSnVJy2u7WmY/edit?usp=share_link"",""นราธิวาส!J308"")+IMPORTRANGE(""https://docs.google.com/spreadsheets/d/1IwnW3-jjRf74MCLW-6P"&amp;"iFwMUffRQXZwZA7YM609NmRc/edit?usp=share_link"",""ปัตตานี!J308"")+IMPORTRANGE(""https://docs.google.com/spreadsheets/d/1vl4QWbWdFruual5o_wdo6ZSqXZ_it806oja4CctTLKs/edit?usp=share_link"",""พังงา!J308"")+IMPORTRANGE(""https://docs.google.com/spreadsheets/d/1"&amp;"b6QssHQp2FoAPSMKHOy273KNzAomaIKhtdlvuZ_zDNE/edit?usp=share_link"",""พัทลุง!J308"")+IMPORTRANGE(""https://docs.google.com/spreadsheets/d/1o7UZe4_OqlqtLDHrj01Z2YFRSZDf1DMy1n3XViHaxRc/edit?usp=share_link"",""ภูเก็ต!J308"")+IMPORTRANGE(""https://docs.google.c"&amp;"om/spreadsheets/d/1ctPm1vUzcUCPuOj9-eoHUD85PqINFqUB0TjdSWmR5-c/edit?usp=share_link"",""ยะลา!J308"")+IMPORTRANGE(""https://docs.google.com/spreadsheets/d/1YiDIE7Klmt8osgdapRqYWNr7iPGFSsiJqq46S7PYRE0/edit?usp=share_link"",""ระนอง!J308"")+IMPORTRANGE(""https"&amp;"://docs.google.com/spreadsheets/d/16o_4B-V7AWw_6E93bSpXj_XxVv1oVQctk-B6z1dNEWU/edit?usp=share_link"",""สงขลา!J308"")+IMPORTRANGE(""https://docs.google.com/spreadsheets/d/16cywr71Fj4fA5OGRHsZh30ZG2gwJhMAQv69oVBzYHv0/edit?usp=share_link"",""สตูล!J308"")+IMP"&amp;"ORTRANGE(""https://docs.google.com/spreadsheets/d/1vO9Sws6kMtrVtyvrAJptINXjK8TFBoX9xLYOVK_C8bQ/edit?usp=share_link"",""สุราษฎร์ธานี!J308"")"),5)</f>
        <v>5</v>
      </c>
      <c r="K308" s="37"/>
      <c r="L308" s="37"/>
      <c r="M308" s="37"/>
      <c r="N308" s="37"/>
      <c r="O308" s="37"/>
      <c r="P308" s="37"/>
    </row>
    <row r="309" spans="1:26" ht="20.25" customHeight="1">
      <c r="A309" s="169"/>
      <c r="B309" s="170"/>
      <c r="C309" s="170"/>
      <c r="D309" s="180" t="s">
        <v>141</v>
      </c>
      <c r="E309" s="176"/>
      <c r="F309" s="176"/>
      <c r="G309" s="178"/>
      <c r="H309" s="181" t="s">
        <v>35</v>
      </c>
      <c r="I309" s="36">
        <f ca="1">IFERROR(__xludf.DUMMYFUNCTION("IMPORTRANGE(""https://docs.google.com/spreadsheets/d/1kC41EOXpGBFOW658Fs3oD8beYlym0-zO54WY-2Qnp9I/edit?usp=share_link"",""กระบี่!I309"")
+IMPORTRANGE(""https://docs.google.com/spreadsheets/d/1FbzMZY_f3MDiEuK7RpCQKrilJ_kpX0Wm7QBZ1L7EjIU/edit?usp=share_link"&amp;""",""ชุมพร!I309"")+IMPORTRANGE(""https://docs.google.com/spreadsheets/d/1v5sN-00LrXuhBxw4dkh2GrG_z4l5oAqOdJRBCsUyMaM/edit?usp=share_link"",""ตรัง!I309"")+IMPORTRANGE(""https://docs.google.com/spreadsheets/d/1T5rRTzFc79aSIvqnzkZNvwPstq829QYz_xALlO1Z0s8/edi"&amp;"t?usp=share_link"",""นครศรีธรรมราช!I309"")+IMPORTRANGE(""https://docs.google.com/spreadsheets/d/1BeghqumK0IvCmRd2QOy6_afsZq7ZtAGrSnVJy2u7WmY/edit?usp=share_link"",""นราธิวาส!I309"")+IMPORTRANGE(""https://docs.google.com/spreadsheets/d/1IwnW3-jjRf74MCLW-6P"&amp;"iFwMUffRQXZwZA7YM609NmRc/edit?usp=share_link"",""ปัตตานี!I309"")+IMPORTRANGE(""https://docs.google.com/spreadsheets/d/1vl4QWbWdFruual5o_wdo6ZSqXZ_it806oja4CctTLKs/edit?usp=share_link"",""พังงา!I309"")+IMPORTRANGE(""https://docs.google.com/spreadsheets/d/1"&amp;"b6QssHQp2FoAPSMKHOy273KNzAomaIKhtdlvuZ_zDNE/edit?usp=share_link"",""พัทลุง!I309"")+IMPORTRANGE(""https://docs.google.com/spreadsheets/d/1o7UZe4_OqlqtLDHrj01Z2YFRSZDf1DMy1n3XViHaxRc/edit?usp=share_link"",""ภูเก็ต!I309"")+IMPORTRANGE(""https://docs.google.c"&amp;"om/spreadsheets/d/1ctPm1vUzcUCPuOj9-eoHUD85PqINFqUB0TjdSWmR5-c/edit?usp=share_link"",""ยะลา!I309"")+IMPORTRANGE(""https://docs.google.com/spreadsheets/d/1YiDIE7Klmt8osgdapRqYWNr7iPGFSsiJqq46S7PYRE0/edit?usp=share_link"",""ระนอง!I309"")+IMPORTRANGE(""https"&amp;"://docs.google.com/spreadsheets/d/16o_4B-V7AWw_6E93bSpXj_XxVv1oVQctk-B6z1dNEWU/edit?usp=share_link"",""สงขลา!I309"")+IMPORTRANGE(""https://docs.google.com/spreadsheets/d/16cywr71Fj4fA5OGRHsZh30ZG2gwJhMAQv69oVBzYHv0/edit?usp=share_link"",""สตูล!I309"")+IMP"&amp;"ORTRANGE(""https://docs.google.com/spreadsheets/d/1vO9Sws6kMtrVtyvrAJptINXjK8TFBoX9xLYOVK_C8bQ/edit?usp=share_link"",""สุราษฎร์ธานี!I309"")"),100)</f>
        <v>100</v>
      </c>
      <c r="J309" s="182">
        <f ca="1">IFERROR(__xludf.DUMMYFUNCTION("IMPORTRANGE(""https://docs.google.com/spreadsheets/d/1kC41EOXpGBFOW658Fs3oD8beYlym0-zO54WY-2Qnp9I/edit?usp=share_link"",""กระบี่!J309"")
+IMPORTRANGE(""https://docs.google.com/spreadsheets/d/1FbzMZY_f3MDiEuK7RpCQKrilJ_kpX0Wm7QBZ1L7EjIU/edit?usp=share_link"&amp;""",""ชุมพร!J309"")+IMPORTRANGE(""https://docs.google.com/spreadsheets/d/1v5sN-00LrXuhBxw4dkh2GrG_z4l5oAqOdJRBCsUyMaM/edit?usp=share_link"",""ตรัง!J309"")+IMPORTRANGE(""https://docs.google.com/spreadsheets/d/1T5rRTzFc79aSIvqnzkZNvwPstq829QYz_xALlO1Z0s8/edi"&amp;"t?usp=share_link"",""นครศรีธรรมราช!J309"")+IMPORTRANGE(""https://docs.google.com/spreadsheets/d/1BeghqumK0IvCmRd2QOy6_afsZq7ZtAGrSnVJy2u7WmY/edit?usp=share_link"",""นราธิวาส!J309"")+IMPORTRANGE(""https://docs.google.com/spreadsheets/d/1IwnW3-jjRf74MCLW-6P"&amp;"iFwMUffRQXZwZA7YM609NmRc/edit?usp=share_link"",""ปัตตานี!J309"")+IMPORTRANGE(""https://docs.google.com/spreadsheets/d/1vl4QWbWdFruual5o_wdo6ZSqXZ_it806oja4CctTLKs/edit?usp=share_link"",""พังงา!J309"")+IMPORTRANGE(""https://docs.google.com/spreadsheets/d/1"&amp;"b6QssHQp2FoAPSMKHOy273KNzAomaIKhtdlvuZ_zDNE/edit?usp=share_link"",""พัทลุง!J309"")+IMPORTRANGE(""https://docs.google.com/spreadsheets/d/1o7UZe4_OqlqtLDHrj01Z2YFRSZDf1DMy1n3XViHaxRc/edit?usp=share_link"",""ภูเก็ต!J309"")+IMPORTRANGE(""https://docs.google.c"&amp;"om/spreadsheets/d/1ctPm1vUzcUCPuOj9-eoHUD85PqINFqUB0TjdSWmR5-c/edit?usp=share_link"",""ยะลา!J309"")+IMPORTRANGE(""https://docs.google.com/spreadsheets/d/1YiDIE7Klmt8osgdapRqYWNr7iPGFSsiJqq46S7PYRE0/edit?usp=share_link"",""ระนอง!J309"")+IMPORTRANGE(""https"&amp;"://docs.google.com/spreadsheets/d/16o_4B-V7AWw_6E93bSpXj_XxVv1oVQctk-B6z1dNEWU/edit?usp=share_link"",""สงขลา!J309"")+IMPORTRANGE(""https://docs.google.com/spreadsheets/d/16cywr71Fj4fA5OGRHsZh30ZG2gwJhMAQv69oVBzYHv0/edit?usp=share_link"",""สตูล!J309"")+IMP"&amp;"ORTRANGE(""https://docs.google.com/spreadsheets/d/1vO9Sws6kMtrVtyvrAJptINXjK8TFBoX9xLYOVK_C8bQ/edit?usp=share_link"",""สุราษฎร์ธานี!J309"")"),100)</f>
        <v>100</v>
      </c>
      <c r="K309" s="37">
        <f t="shared" ref="K309:K312" ca="1" si="165">IF(I309&gt;0,J309*100/I309,0)</f>
        <v>100</v>
      </c>
      <c r="L309" s="37"/>
      <c r="M309" s="37"/>
      <c r="N309" s="37"/>
      <c r="O309" s="37"/>
      <c r="P309" s="37"/>
    </row>
    <row r="310" spans="1:26" ht="20.25" customHeight="1">
      <c r="A310" s="169"/>
      <c r="B310" s="170"/>
      <c r="C310" s="170"/>
      <c r="D310" s="447" t="s">
        <v>142</v>
      </c>
      <c r="E310" s="176"/>
      <c r="F310" s="176"/>
      <c r="G310" s="178"/>
      <c r="H310" s="181" t="s">
        <v>35</v>
      </c>
      <c r="I310" s="36">
        <f ca="1">IFERROR(__xludf.DUMMYFUNCTION("IMPORTRANGE(""https://docs.google.com/spreadsheets/d/1kC41EOXpGBFOW658Fs3oD8beYlym0-zO54WY-2Qnp9I/edit?usp=share_link"",""กระบี่!I310"")
+IMPORTRANGE(""https://docs.google.com/spreadsheets/d/1FbzMZY_f3MDiEuK7RpCQKrilJ_kpX0Wm7QBZ1L7EjIU/edit?usp=share_link"&amp;""",""ชุมพร!I310"")+IMPORTRANGE(""https://docs.google.com/spreadsheets/d/1v5sN-00LrXuhBxw4dkh2GrG_z4l5oAqOdJRBCsUyMaM/edit?usp=share_link"",""ตรัง!I310"")+IMPORTRANGE(""https://docs.google.com/spreadsheets/d/1T5rRTzFc79aSIvqnzkZNvwPstq829QYz_xALlO1Z0s8/edi"&amp;"t?usp=share_link"",""นครศรีธรรมราช!I310"")+IMPORTRANGE(""https://docs.google.com/spreadsheets/d/1BeghqumK0IvCmRd2QOy6_afsZq7ZtAGrSnVJy2u7WmY/edit?usp=share_link"",""นราธิวาส!I310"")+IMPORTRANGE(""https://docs.google.com/spreadsheets/d/1IwnW3-jjRf74MCLW-6P"&amp;"iFwMUffRQXZwZA7YM609NmRc/edit?usp=share_link"",""ปัตตานี!I310"")+IMPORTRANGE(""https://docs.google.com/spreadsheets/d/1vl4QWbWdFruual5o_wdo6ZSqXZ_it806oja4CctTLKs/edit?usp=share_link"",""พังงา!I310"")+IMPORTRANGE(""https://docs.google.com/spreadsheets/d/1"&amp;"b6QssHQp2FoAPSMKHOy273KNzAomaIKhtdlvuZ_zDNE/edit?usp=share_link"",""พัทลุง!I310"")+IMPORTRANGE(""https://docs.google.com/spreadsheets/d/1o7UZe4_OqlqtLDHrj01Z2YFRSZDf1DMy1n3XViHaxRc/edit?usp=share_link"",""ภูเก็ต!I310"")+IMPORTRANGE(""https://docs.google.c"&amp;"om/spreadsheets/d/1ctPm1vUzcUCPuOj9-eoHUD85PqINFqUB0TjdSWmR5-c/edit?usp=share_link"",""ยะลา!I310"")+IMPORTRANGE(""https://docs.google.com/spreadsheets/d/1YiDIE7Klmt8osgdapRqYWNr7iPGFSsiJqq46S7PYRE0/edit?usp=share_link"",""ระนอง!I310"")+IMPORTRANGE(""https"&amp;"://docs.google.com/spreadsheets/d/16o_4B-V7AWw_6E93bSpXj_XxVv1oVQctk-B6z1dNEWU/edit?usp=share_link"",""สงขลา!I310"")+IMPORTRANGE(""https://docs.google.com/spreadsheets/d/16cywr71Fj4fA5OGRHsZh30ZG2gwJhMAQv69oVBzYHv0/edit?usp=share_link"",""สตูล!I310"")+IMP"&amp;"ORTRANGE(""https://docs.google.com/spreadsheets/d/1vO9Sws6kMtrVtyvrAJptINXjK8TFBoX9xLYOVK_C8bQ/edit?usp=share_link"",""สุราษฎร์ธานี!I310"")"),100)</f>
        <v>100</v>
      </c>
      <c r="J310" s="182">
        <f ca="1">IFERROR(__xludf.DUMMYFUNCTION("IMPORTRANGE(""https://docs.google.com/spreadsheets/d/1kC41EOXpGBFOW658Fs3oD8beYlym0-zO54WY-2Qnp9I/edit?usp=share_link"",""กระบี่!J310"")
+IMPORTRANGE(""https://docs.google.com/spreadsheets/d/1FbzMZY_f3MDiEuK7RpCQKrilJ_kpX0Wm7QBZ1L7EjIU/edit?usp=share_link"&amp;""",""ชุมพร!J310"")+IMPORTRANGE(""https://docs.google.com/spreadsheets/d/1v5sN-00LrXuhBxw4dkh2GrG_z4l5oAqOdJRBCsUyMaM/edit?usp=share_link"",""ตรัง!J310"")+IMPORTRANGE(""https://docs.google.com/spreadsheets/d/1T5rRTzFc79aSIvqnzkZNvwPstq829QYz_xALlO1Z0s8/edi"&amp;"t?usp=share_link"",""นครศรีธรรมราช!J310"")+IMPORTRANGE(""https://docs.google.com/spreadsheets/d/1BeghqumK0IvCmRd2QOy6_afsZq7ZtAGrSnVJy2u7WmY/edit?usp=share_link"",""นราธิวาส!J310"")+IMPORTRANGE(""https://docs.google.com/spreadsheets/d/1IwnW3-jjRf74MCLW-6P"&amp;"iFwMUffRQXZwZA7YM609NmRc/edit?usp=share_link"",""ปัตตานี!J310"")+IMPORTRANGE(""https://docs.google.com/spreadsheets/d/1vl4QWbWdFruual5o_wdo6ZSqXZ_it806oja4CctTLKs/edit?usp=share_link"",""พังงา!J310"")+IMPORTRANGE(""https://docs.google.com/spreadsheets/d/1"&amp;"b6QssHQp2FoAPSMKHOy273KNzAomaIKhtdlvuZ_zDNE/edit?usp=share_link"",""พัทลุง!J310"")+IMPORTRANGE(""https://docs.google.com/spreadsheets/d/1o7UZe4_OqlqtLDHrj01Z2YFRSZDf1DMy1n3XViHaxRc/edit?usp=share_link"",""ภูเก็ต!J310"")+IMPORTRANGE(""https://docs.google.c"&amp;"om/spreadsheets/d/1ctPm1vUzcUCPuOj9-eoHUD85PqINFqUB0TjdSWmR5-c/edit?usp=share_link"",""ยะลา!J310"")+IMPORTRANGE(""https://docs.google.com/spreadsheets/d/1YiDIE7Klmt8osgdapRqYWNr7iPGFSsiJqq46S7PYRE0/edit?usp=share_link"",""ระนอง!J310"")+IMPORTRANGE(""https"&amp;"://docs.google.com/spreadsheets/d/16o_4B-V7AWw_6E93bSpXj_XxVv1oVQctk-B6z1dNEWU/edit?usp=share_link"",""สงขลา!J310"")+IMPORTRANGE(""https://docs.google.com/spreadsheets/d/16cywr71Fj4fA5OGRHsZh30ZG2gwJhMAQv69oVBzYHv0/edit?usp=share_link"",""สตูล!J310"")+IMP"&amp;"ORTRANGE(""https://docs.google.com/spreadsheets/d/1vO9Sws6kMtrVtyvrAJptINXjK8TFBoX9xLYOVK_C8bQ/edit?usp=share_link"",""สุราษฎร์ธานี!J310"")"),100)</f>
        <v>100</v>
      </c>
      <c r="K310" s="37">
        <f t="shared" ca="1" si="165"/>
        <v>100</v>
      </c>
      <c r="L310" s="37"/>
      <c r="M310" s="37"/>
      <c r="N310" s="37"/>
      <c r="O310" s="37"/>
      <c r="P310" s="37"/>
    </row>
    <row r="311" spans="1:26" ht="20.25" customHeight="1">
      <c r="A311" s="169"/>
      <c r="B311" s="170"/>
      <c r="C311" s="170"/>
      <c r="D311" s="447" t="s">
        <v>59</v>
      </c>
      <c r="E311" s="176"/>
      <c r="F311" s="176"/>
      <c r="G311" s="178"/>
      <c r="H311" s="448" t="s">
        <v>35</v>
      </c>
      <c r="I311" s="36">
        <f ca="1">IFERROR(__xludf.DUMMYFUNCTION("IMPORTRANGE(""https://docs.google.com/spreadsheets/d/1kC41EOXpGBFOW658Fs3oD8beYlym0-zO54WY-2Qnp9I/edit?usp=share_link"",""กระบี่!I311"")
+IMPORTRANGE(""https://docs.google.com/spreadsheets/d/1FbzMZY_f3MDiEuK7RpCQKrilJ_kpX0Wm7QBZ1L7EjIU/edit?usp=share_link"&amp;""",""ชุมพร!I311"")+IMPORTRANGE(""https://docs.google.com/spreadsheets/d/1v5sN-00LrXuhBxw4dkh2GrG_z4l5oAqOdJRBCsUyMaM/edit?usp=share_link"",""ตรัง!I311"")+IMPORTRANGE(""https://docs.google.com/spreadsheets/d/1T5rRTzFc79aSIvqnzkZNvwPstq829QYz_xALlO1Z0s8/edi"&amp;"t?usp=share_link"",""นครศรีธรรมราช!I311"")+IMPORTRANGE(""https://docs.google.com/spreadsheets/d/1BeghqumK0IvCmRd2QOy6_afsZq7ZtAGrSnVJy2u7WmY/edit?usp=share_link"",""นราธิวาส!I311"")+IMPORTRANGE(""https://docs.google.com/spreadsheets/d/1IwnW3-jjRf74MCLW-6P"&amp;"iFwMUffRQXZwZA7YM609NmRc/edit?usp=share_link"",""ปัตตานี!I311"")+IMPORTRANGE(""https://docs.google.com/spreadsheets/d/1vl4QWbWdFruual5o_wdo6ZSqXZ_it806oja4CctTLKs/edit?usp=share_link"",""พังงา!I311"")+IMPORTRANGE(""https://docs.google.com/spreadsheets/d/1"&amp;"b6QssHQp2FoAPSMKHOy273KNzAomaIKhtdlvuZ_zDNE/edit?usp=share_link"",""พัทลุง!I311"")+IMPORTRANGE(""https://docs.google.com/spreadsheets/d/1o7UZe4_OqlqtLDHrj01Z2YFRSZDf1DMy1n3XViHaxRc/edit?usp=share_link"",""ภูเก็ต!I311"")+IMPORTRANGE(""https://docs.google.c"&amp;"om/spreadsheets/d/1ctPm1vUzcUCPuOj9-eoHUD85PqINFqUB0TjdSWmR5-c/edit?usp=share_link"",""ยะลา!I311"")+IMPORTRANGE(""https://docs.google.com/spreadsheets/d/1YiDIE7Klmt8osgdapRqYWNr7iPGFSsiJqq46S7PYRE0/edit?usp=share_link"",""ระนอง!I311"")+IMPORTRANGE(""https"&amp;"://docs.google.com/spreadsheets/d/16o_4B-V7AWw_6E93bSpXj_XxVv1oVQctk-B6z1dNEWU/edit?usp=share_link"",""สงขลา!I311"")+IMPORTRANGE(""https://docs.google.com/spreadsheets/d/16cywr71Fj4fA5OGRHsZh30ZG2gwJhMAQv69oVBzYHv0/edit?usp=share_link"",""สตูล!I311"")+IMP"&amp;"ORTRANGE(""https://docs.google.com/spreadsheets/d/1vO9Sws6kMtrVtyvrAJptINXjK8TFBoX9xLYOVK_C8bQ/edit?usp=share_link"",""สุราษฎร์ธานี!I311"")"),100)</f>
        <v>100</v>
      </c>
      <c r="J311" s="182">
        <f ca="1">IFERROR(__xludf.DUMMYFUNCTION("IMPORTRANGE(""https://docs.google.com/spreadsheets/d/1kC41EOXpGBFOW658Fs3oD8beYlym0-zO54WY-2Qnp9I/edit?usp=share_link"",""กระบี่!J311"")
+IMPORTRANGE(""https://docs.google.com/spreadsheets/d/1FbzMZY_f3MDiEuK7RpCQKrilJ_kpX0Wm7QBZ1L7EjIU/edit?usp=share_link"&amp;""",""ชุมพร!J311"")+IMPORTRANGE(""https://docs.google.com/spreadsheets/d/1v5sN-00LrXuhBxw4dkh2GrG_z4l5oAqOdJRBCsUyMaM/edit?usp=share_link"",""ตรัง!J311"")+IMPORTRANGE(""https://docs.google.com/spreadsheets/d/1T5rRTzFc79aSIvqnzkZNvwPstq829QYz_xALlO1Z0s8/edi"&amp;"t?usp=share_link"",""นครศรีธรรมราช!J311"")+IMPORTRANGE(""https://docs.google.com/spreadsheets/d/1BeghqumK0IvCmRd2QOy6_afsZq7ZtAGrSnVJy2u7WmY/edit?usp=share_link"",""นราธิวาส!J311"")+IMPORTRANGE(""https://docs.google.com/spreadsheets/d/1IwnW3-jjRf74MCLW-6P"&amp;"iFwMUffRQXZwZA7YM609NmRc/edit?usp=share_link"",""ปัตตานี!J311"")+IMPORTRANGE(""https://docs.google.com/spreadsheets/d/1vl4QWbWdFruual5o_wdo6ZSqXZ_it806oja4CctTLKs/edit?usp=share_link"",""พังงา!J311"")+IMPORTRANGE(""https://docs.google.com/spreadsheets/d/1"&amp;"b6QssHQp2FoAPSMKHOy273KNzAomaIKhtdlvuZ_zDNE/edit?usp=share_link"",""พัทลุง!J311"")+IMPORTRANGE(""https://docs.google.com/spreadsheets/d/1o7UZe4_OqlqtLDHrj01Z2YFRSZDf1DMy1n3XViHaxRc/edit?usp=share_link"",""ภูเก็ต!J311"")+IMPORTRANGE(""https://docs.google.c"&amp;"om/spreadsheets/d/1ctPm1vUzcUCPuOj9-eoHUD85PqINFqUB0TjdSWmR5-c/edit?usp=share_link"",""ยะลา!J311"")+IMPORTRANGE(""https://docs.google.com/spreadsheets/d/1YiDIE7Klmt8osgdapRqYWNr7iPGFSsiJqq46S7PYRE0/edit?usp=share_link"",""ระนอง!J311"")+IMPORTRANGE(""https"&amp;"://docs.google.com/spreadsheets/d/16o_4B-V7AWw_6E93bSpXj_XxVv1oVQctk-B6z1dNEWU/edit?usp=share_link"",""สงขลา!J311"")+IMPORTRANGE(""https://docs.google.com/spreadsheets/d/16cywr71Fj4fA5OGRHsZh30ZG2gwJhMAQv69oVBzYHv0/edit?usp=share_link"",""สตูล!J311"")+IMP"&amp;"ORTRANGE(""https://docs.google.com/spreadsheets/d/1vO9Sws6kMtrVtyvrAJptINXjK8TFBoX9xLYOVK_C8bQ/edit?usp=share_link"",""สุราษฎร์ธานี!J311"")"),100)</f>
        <v>100</v>
      </c>
      <c r="K311" s="37">
        <f t="shared" ca="1" si="165"/>
        <v>100</v>
      </c>
      <c r="L311" s="37"/>
      <c r="M311" s="37"/>
      <c r="N311" s="37"/>
      <c r="O311" s="37"/>
      <c r="P311" s="37"/>
    </row>
    <row r="312" spans="1:26" ht="20.25" customHeight="1">
      <c r="A312" s="169"/>
      <c r="B312" s="170"/>
      <c r="C312" s="170"/>
      <c r="D312" s="447" t="s">
        <v>143</v>
      </c>
      <c r="E312" s="176"/>
      <c r="F312" s="176"/>
      <c r="G312" s="178"/>
      <c r="H312" s="181" t="s">
        <v>35</v>
      </c>
      <c r="I312" s="36">
        <f ca="1">IFERROR(__xludf.DUMMYFUNCTION("IMPORTRANGE(""https://docs.google.com/spreadsheets/d/1kC41EOXpGBFOW658Fs3oD8beYlym0-zO54WY-2Qnp9I/edit?usp=share_link"",""กระบี่!I312"")
+IMPORTRANGE(""https://docs.google.com/spreadsheets/d/1FbzMZY_f3MDiEuK7RpCQKrilJ_kpX0Wm7QBZ1L7EjIU/edit?usp=share_link"&amp;""",""ชุมพร!I312"")+IMPORTRANGE(""https://docs.google.com/spreadsheets/d/1v5sN-00LrXuhBxw4dkh2GrG_z4l5oAqOdJRBCsUyMaM/edit?usp=share_link"",""ตรัง!I312"")+IMPORTRANGE(""https://docs.google.com/spreadsheets/d/1T5rRTzFc79aSIvqnzkZNvwPstq829QYz_xALlO1Z0s8/edi"&amp;"t?usp=share_link"",""นครศรีธรรมราช!I312"")+IMPORTRANGE(""https://docs.google.com/spreadsheets/d/1BeghqumK0IvCmRd2QOy6_afsZq7ZtAGrSnVJy2u7WmY/edit?usp=share_link"",""นราธิวาส!I312"")+IMPORTRANGE(""https://docs.google.com/spreadsheets/d/1IwnW3-jjRf74MCLW-6P"&amp;"iFwMUffRQXZwZA7YM609NmRc/edit?usp=share_link"",""ปัตตานี!I312"")+IMPORTRANGE(""https://docs.google.com/spreadsheets/d/1vl4QWbWdFruual5o_wdo6ZSqXZ_it806oja4CctTLKs/edit?usp=share_link"",""พังงา!I312"")+IMPORTRANGE(""https://docs.google.com/spreadsheets/d/1"&amp;"b6QssHQp2FoAPSMKHOy273KNzAomaIKhtdlvuZ_zDNE/edit?usp=share_link"",""พัทลุง!I312"")+IMPORTRANGE(""https://docs.google.com/spreadsheets/d/1o7UZe4_OqlqtLDHrj01Z2YFRSZDf1DMy1n3XViHaxRc/edit?usp=share_link"",""ภูเก็ต!I312"")+IMPORTRANGE(""https://docs.google.c"&amp;"om/spreadsheets/d/1ctPm1vUzcUCPuOj9-eoHUD85PqINFqUB0TjdSWmR5-c/edit?usp=share_link"",""ยะลา!I312"")+IMPORTRANGE(""https://docs.google.com/spreadsheets/d/1YiDIE7Klmt8osgdapRqYWNr7iPGFSsiJqq46S7PYRE0/edit?usp=share_link"",""ระนอง!I312"")+IMPORTRANGE(""https"&amp;"://docs.google.com/spreadsheets/d/16o_4B-V7AWw_6E93bSpXj_XxVv1oVQctk-B6z1dNEWU/edit?usp=share_link"",""สงขลา!I312"")+IMPORTRANGE(""https://docs.google.com/spreadsheets/d/16cywr71Fj4fA5OGRHsZh30ZG2gwJhMAQv69oVBzYHv0/edit?usp=share_link"",""สตูล!I312"")+IMP"&amp;"ORTRANGE(""https://docs.google.com/spreadsheets/d/1vO9Sws6kMtrVtyvrAJptINXjK8TFBoX9xLYOVK_C8bQ/edit?usp=share_link"",""สุราษฎร์ธานี!I312"")"),20)</f>
        <v>20</v>
      </c>
      <c r="J312" s="182">
        <f ca="1">IFERROR(__xludf.DUMMYFUNCTION("IMPORTRANGE(""https://docs.google.com/spreadsheets/d/1kC41EOXpGBFOW658Fs3oD8beYlym0-zO54WY-2Qnp9I/edit?usp=share_link"",""กระบี่!J312"")
+IMPORTRANGE(""https://docs.google.com/spreadsheets/d/1FbzMZY_f3MDiEuK7RpCQKrilJ_kpX0Wm7QBZ1L7EjIU/edit?usp=share_link"&amp;""",""ชุมพร!J312"")+IMPORTRANGE(""https://docs.google.com/spreadsheets/d/1v5sN-00LrXuhBxw4dkh2GrG_z4l5oAqOdJRBCsUyMaM/edit?usp=share_link"",""ตรัง!J312"")+IMPORTRANGE(""https://docs.google.com/spreadsheets/d/1T5rRTzFc79aSIvqnzkZNvwPstq829QYz_xALlO1Z0s8/edi"&amp;"t?usp=share_link"",""นครศรีธรรมราช!J312"")+IMPORTRANGE(""https://docs.google.com/spreadsheets/d/1BeghqumK0IvCmRd2QOy6_afsZq7ZtAGrSnVJy2u7WmY/edit?usp=share_link"",""นราธิวาส!J312"")+IMPORTRANGE(""https://docs.google.com/spreadsheets/d/1IwnW3-jjRf74MCLW-6P"&amp;"iFwMUffRQXZwZA7YM609NmRc/edit?usp=share_link"",""ปัตตานี!J312"")+IMPORTRANGE(""https://docs.google.com/spreadsheets/d/1vl4QWbWdFruual5o_wdo6ZSqXZ_it806oja4CctTLKs/edit?usp=share_link"",""พังงา!J312"")+IMPORTRANGE(""https://docs.google.com/spreadsheets/d/1"&amp;"b6QssHQp2FoAPSMKHOy273KNzAomaIKhtdlvuZ_zDNE/edit?usp=share_link"",""พัทลุง!J312"")+IMPORTRANGE(""https://docs.google.com/spreadsheets/d/1o7UZe4_OqlqtLDHrj01Z2YFRSZDf1DMy1n3XViHaxRc/edit?usp=share_link"",""ภูเก็ต!J312"")+IMPORTRANGE(""https://docs.google.c"&amp;"om/spreadsheets/d/1ctPm1vUzcUCPuOj9-eoHUD85PqINFqUB0TjdSWmR5-c/edit?usp=share_link"",""ยะลา!J312"")+IMPORTRANGE(""https://docs.google.com/spreadsheets/d/1YiDIE7Klmt8osgdapRqYWNr7iPGFSsiJqq46S7PYRE0/edit?usp=share_link"",""ระนอง!J312"")+IMPORTRANGE(""https"&amp;"://docs.google.com/spreadsheets/d/16o_4B-V7AWw_6E93bSpXj_XxVv1oVQctk-B6z1dNEWU/edit?usp=share_link"",""สงขลา!J312"")+IMPORTRANGE(""https://docs.google.com/spreadsheets/d/16cywr71Fj4fA5OGRHsZh30ZG2gwJhMAQv69oVBzYHv0/edit?usp=share_link"",""สตูล!J312"")+IMP"&amp;"ORTRANGE(""https://docs.google.com/spreadsheets/d/1vO9Sws6kMtrVtyvrAJptINXjK8TFBoX9xLYOVK_C8bQ/edit?usp=share_link"",""สุราษฎร์ธานี!J312"")"),20)</f>
        <v>20</v>
      </c>
      <c r="K312" s="37">
        <f t="shared" ca="1" si="165"/>
        <v>100</v>
      </c>
      <c r="L312" s="37"/>
      <c r="M312" s="37"/>
      <c r="N312" s="37"/>
      <c r="O312" s="37"/>
      <c r="P312" s="37"/>
    </row>
    <row r="313" spans="1:26" ht="20.25" customHeight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20.25" customHeight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66">I325</f>
        <v>5</v>
      </c>
      <c r="J314" s="444">
        <f t="shared" ca="1" si="166"/>
        <v>5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20.25" customHeight="1">
      <c r="A315" s="146"/>
      <c r="B315" s="147"/>
      <c r="C315" s="148" t="s">
        <v>16</v>
      </c>
      <c r="D315" s="149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67">L316+L317</f>
        <v>4641000</v>
      </c>
      <c r="M315" s="154">
        <f t="shared" ca="1" si="167"/>
        <v>4731175.13</v>
      </c>
      <c r="N315" s="154">
        <f t="shared" ca="1" si="167"/>
        <v>4731175.13</v>
      </c>
      <c r="O315" s="154">
        <f t="shared" ref="O315:O323" ca="1" si="168">IF(L315&gt;0,N315*100/L315,0)</f>
        <v>101.94301077354018</v>
      </c>
      <c r="P315" s="154">
        <f t="shared" ref="P315:P323" ca="1" si="169">IF(M315&gt;0,N315*100/M315,0)</f>
        <v>100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20.25" hidden="1" customHeight="1">
      <c r="A316" s="155"/>
      <c r="B316" s="39"/>
      <c r="C316" s="39"/>
      <c r="D316" s="39"/>
      <c r="E316" s="40" t="s">
        <v>18</v>
      </c>
      <c r="F316" s="39"/>
      <c r="G316" s="156"/>
      <c r="H316" s="157" t="s">
        <v>12</v>
      </c>
      <c r="I316" s="43"/>
      <c r="J316" s="43"/>
      <c r="K316" s="44"/>
      <c r="L316" s="44">
        <f t="shared" ref="L316:N316" si="170">L319+L322</f>
        <v>0</v>
      </c>
      <c r="M316" s="44">
        <f t="shared" si="170"/>
        <v>0</v>
      </c>
      <c r="N316" s="44">
        <f t="shared" si="170"/>
        <v>0</v>
      </c>
      <c r="O316" s="44">
        <f t="shared" si="168"/>
        <v>0</v>
      </c>
      <c r="P316" s="44">
        <f t="shared" si="169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0.25" hidden="1" customHeight="1">
      <c r="A317" s="155"/>
      <c r="B317" s="39"/>
      <c r="C317" s="39"/>
      <c r="D317" s="39"/>
      <c r="E317" s="40" t="s">
        <v>19</v>
      </c>
      <c r="F317" s="39"/>
      <c r="G317" s="156"/>
      <c r="H317" s="157" t="s">
        <v>12</v>
      </c>
      <c r="I317" s="43"/>
      <c r="J317" s="43"/>
      <c r="K317" s="44"/>
      <c r="L317" s="44">
        <f t="shared" ref="L317:N317" ca="1" si="171">L320+L323</f>
        <v>4641000</v>
      </c>
      <c r="M317" s="44">
        <f t="shared" ca="1" si="171"/>
        <v>4731175.13</v>
      </c>
      <c r="N317" s="44">
        <f t="shared" ca="1" si="171"/>
        <v>4731175.13</v>
      </c>
      <c r="O317" s="44">
        <f t="shared" ca="1" si="168"/>
        <v>101.94301077354018</v>
      </c>
      <c r="P317" s="44">
        <f t="shared" ca="1" si="169"/>
        <v>100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0.25" customHeight="1">
      <c r="A318" s="158"/>
      <c r="B318" s="32"/>
      <c r="C318" s="159"/>
      <c r="D318" s="33" t="s">
        <v>20</v>
      </c>
      <c r="E318" s="32"/>
      <c r="F318" s="32"/>
      <c r="G318" s="34"/>
      <c r="H318" s="160" t="s">
        <v>12</v>
      </c>
      <c r="I318" s="161"/>
      <c r="J318" s="161"/>
      <c r="K318" s="162"/>
      <c r="L318" s="37">
        <f t="shared" ref="L318:N318" ca="1" si="172">L319+L320</f>
        <v>1041000</v>
      </c>
      <c r="M318" s="37">
        <f t="shared" ca="1" si="172"/>
        <v>1138900</v>
      </c>
      <c r="N318" s="37">
        <f t="shared" ca="1" si="172"/>
        <v>1138900</v>
      </c>
      <c r="O318" s="37">
        <f t="shared" ca="1" si="168"/>
        <v>109.40441882804996</v>
      </c>
      <c r="P318" s="37">
        <f t="shared" ca="1" si="169"/>
        <v>100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20.25" hidden="1" customHeight="1">
      <c r="A319" s="155"/>
      <c r="B319" s="39"/>
      <c r="C319" s="163"/>
      <c r="D319" s="39"/>
      <c r="E319" s="40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44">
        <f t="shared" si="168"/>
        <v>0</v>
      </c>
      <c r="P319" s="44">
        <f t="shared" si="169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0.25" hidden="1" customHeight="1">
      <c r="A320" s="155"/>
      <c r="B320" s="39"/>
      <c r="C320" s="163"/>
      <c r="D320" s="39"/>
      <c r="E320" s="40" t="s">
        <v>37</v>
      </c>
      <c r="F320" s="39"/>
      <c r="G320" s="156"/>
      <c r="H320" s="164" t="s">
        <v>12</v>
      </c>
      <c r="I320" s="165"/>
      <c r="J320" s="165"/>
      <c r="K320" s="166"/>
      <c r="L320" s="44">
        <f ca="1">IFERROR(__xludf.DUMMYFUNCTION("IMPORTRANGE(""https://docs.google.com/spreadsheets/d/1kC41EOXpGBFOW658Fs3oD8beYlym0-zO54WY-2Qnp9I/edit?usp=share_link"",""กระบี่!L320"")
+IMPORTRANGE(""https://docs.google.com/spreadsheets/d/1FbzMZY_f3MDiEuK7RpCQKrilJ_kpX0Wm7QBZ1L7EjIU/edit?usp=share_link"&amp;""",""ชุมพร!L320"")+IMPORTRANGE(""https://docs.google.com/spreadsheets/d/1v5sN-00LrXuhBxw4dkh2GrG_z4l5oAqOdJRBCsUyMaM/edit?usp=share_link"",""ตรัง!L320"")+IMPORTRANGE(""https://docs.google.com/spreadsheets/d/1T5rRTzFc79aSIvqnzkZNvwPstq829QYz_xALlO1Z0s8/edi"&amp;"t?usp=share_link"",""นครศรีธรรมราช!L320"")+IMPORTRANGE(""https://docs.google.com/spreadsheets/d/1BeghqumK0IvCmRd2QOy6_afsZq7ZtAGrSnVJy2u7WmY/edit?usp=share_link"",""นราธิวาส!L320"")+IMPORTRANGE(""https://docs.google.com/spreadsheets/d/1IwnW3-jjRf74MCLW-6P"&amp;"iFwMUffRQXZwZA7YM609NmRc/edit?usp=share_link"",""ปัตตานี!L320"")+IMPORTRANGE(""https://docs.google.com/spreadsheets/d/1vl4QWbWdFruual5o_wdo6ZSqXZ_it806oja4CctTLKs/edit?usp=share_link"",""พังงา!L320"")+IMPORTRANGE(""https://docs.google.com/spreadsheets/d/1"&amp;"b6QssHQp2FoAPSMKHOy273KNzAomaIKhtdlvuZ_zDNE/edit?usp=share_link"",""พัทลุง!L320"")+IMPORTRANGE(""https://docs.google.com/spreadsheets/d/1o7UZe4_OqlqtLDHrj01Z2YFRSZDf1DMy1n3XViHaxRc/edit?usp=share_link"",""ภูเก็ต!L320"")+IMPORTRANGE(""https://docs.google.c"&amp;"om/spreadsheets/d/1ctPm1vUzcUCPuOj9-eoHUD85PqINFqUB0TjdSWmR5-c/edit?usp=share_link"",""ยะลา!L320"")+IMPORTRANGE(""https://docs.google.com/spreadsheets/d/1YiDIE7Klmt8osgdapRqYWNr7iPGFSsiJqq46S7PYRE0/edit?usp=share_link"",""ระนอง!L320"")+IMPORTRANGE(""https"&amp;"://docs.google.com/spreadsheets/d/16o_4B-V7AWw_6E93bSpXj_XxVv1oVQctk-B6z1dNEWU/edit?usp=share_link"",""สงขลา!L320"")+IMPORTRANGE(""https://docs.google.com/spreadsheets/d/16cywr71Fj4fA5OGRHsZh30ZG2gwJhMAQv69oVBzYHv0/edit?usp=share_link"",""สตูล!L320"")+IMP"&amp;"ORTRANGE(""https://docs.google.com/spreadsheets/d/1vO9Sws6kMtrVtyvrAJptINXjK8TFBoX9xLYOVK_C8bQ/edit?usp=share_link"",""สุราษฎร์ธานี!L320"")"),1041000)</f>
        <v>1041000</v>
      </c>
      <c r="M320" s="44">
        <f ca="1">IFERROR(__xludf.DUMMYFUNCTION("IMPORTRANGE(""https://docs.google.com/spreadsheets/d/1kC41EOXpGBFOW658Fs3oD8beYlym0-zO54WY-2Qnp9I/edit?usp=share_link"",""กระบี่!M320"")
+IMPORTRANGE(""https://docs.google.com/spreadsheets/d/1FbzMZY_f3MDiEuK7RpCQKrilJ_kpX0Wm7QBZ1L7EjIU/edit?usp=share_link"&amp;""",""ชุมพร!M320"")+IMPORTRANGE(""https://docs.google.com/spreadsheets/d/1v5sN-00LrXuhBxw4dkh2GrG_z4l5oAqOdJRBCsUyMaM/edit?usp=share_link"",""ตรัง!M320"")+IMPORTRANGE(""https://docs.google.com/spreadsheets/d/1T5rRTzFc79aSIvqnzkZNvwPstq829QYz_xALlO1Z0s8/edi"&amp;"t?usp=share_link"",""นครศรีธรรมราช!M320"")+IMPORTRANGE(""https://docs.google.com/spreadsheets/d/1BeghqumK0IvCmRd2QOy6_afsZq7ZtAGrSnVJy2u7WmY/edit?usp=share_link"",""นราธิวาส!M320"")+IMPORTRANGE(""https://docs.google.com/spreadsheets/d/1IwnW3-jjRf74MCLW-6P"&amp;"iFwMUffRQXZwZA7YM609NmRc/edit?usp=share_link"",""ปัตตานี!M320"")+IMPORTRANGE(""https://docs.google.com/spreadsheets/d/1vl4QWbWdFruual5o_wdo6ZSqXZ_it806oja4CctTLKs/edit?usp=share_link"",""พังงา!M320"")+IMPORTRANGE(""https://docs.google.com/spreadsheets/d/1"&amp;"b6QssHQp2FoAPSMKHOy273KNzAomaIKhtdlvuZ_zDNE/edit?usp=share_link"",""พัทลุง!M320"")+IMPORTRANGE(""https://docs.google.com/spreadsheets/d/1o7UZe4_OqlqtLDHrj01Z2YFRSZDf1DMy1n3XViHaxRc/edit?usp=share_link"",""ภูเก็ต!M320"")+IMPORTRANGE(""https://docs.google.c"&amp;"om/spreadsheets/d/1ctPm1vUzcUCPuOj9-eoHUD85PqINFqUB0TjdSWmR5-c/edit?usp=share_link"",""ยะลา!M320"")+IMPORTRANGE(""https://docs.google.com/spreadsheets/d/1YiDIE7Klmt8osgdapRqYWNr7iPGFSsiJqq46S7PYRE0/edit?usp=share_link"",""ระนอง!M320"")+IMPORTRANGE(""https"&amp;"://docs.google.com/spreadsheets/d/16o_4B-V7AWw_6E93bSpXj_XxVv1oVQctk-B6z1dNEWU/edit?usp=share_link"",""สงขลา!M320"")+IMPORTRANGE(""https://docs.google.com/spreadsheets/d/16cywr71Fj4fA5OGRHsZh30ZG2gwJhMAQv69oVBzYHv0/edit?usp=share_link"",""สตูล!M320"")+IMP"&amp;"ORTRANGE(""https://docs.google.com/spreadsheets/d/1vO9Sws6kMtrVtyvrAJptINXjK8TFBoX9xLYOVK_C8bQ/edit?usp=share_link"",""สุราษฎร์ธานี!M320"")"),1138900)</f>
        <v>1138900</v>
      </c>
      <c r="N320" s="44">
        <f ca="1">IFERROR(__xludf.DUMMYFUNCTION("IMPORTRANGE(""https://docs.google.com/spreadsheets/d/1kC41EOXpGBFOW658Fs3oD8beYlym0-zO54WY-2Qnp9I/edit?usp=share_link"",""กระบี่!N320"")
+IMPORTRANGE(""https://docs.google.com/spreadsheets/d/1FbzMZY_f3MDiEuK7RpCQKrilJ_kpX0Wm7QBZ1L7EjIU/edit?usp=share_link"&amp;""",""ชุมพร!N320"")+IMPORTRANGE(""https://docs.google.com/spreadsheets/d/1v5sN-00LrXuhBxw4dkh2GrG_z4l5oAqOdJRBCsUyMaM/edit?usp=share_link"",""ตรัง!N320"")+IMPORTRANGE(""https://docs.google.com/spreadsheets/d/1T5rRTzFc79aSIvqnzkZNvwPstq829QYz_xALlO1Z0s8/edi"&amp;"t?usp=share_link"",""นครศรีธรรมราช!N320"")+IMPORTRANGE(""https://docs.google.com/spreadsheets/d/1BeghqumK0IvCmRd2QOy6_afsZq7ZtAGrSnVJy2u7WmY/edit?usp=share_link"",""นราธิวาส!N320"")+IMPORTRANGE(""https://docs.google.com/spreadsheets/d/1IwnW3-jjRf74MCLW-6P"&amp;"iFwMUffRQXZwZA7YM609NmRc/edit?usp=share_link"",""ปัตตานี!N320"")+IMPORTRANGE(""https://docs.google.com/spreadsheets/d/1vl4QWbWdFruual5o_wdo6ZSqXZ_it806oja4CctTLKs/edit?usp=share_link"",""พังงา!N320"")+IMPORTRANGE(""https://docs.google.com/spreadsheets/d/1"&amp;"b6QssHQp2FoAPSMKHOy273KNzAomaIKhtdlvuZ_zDNE/edit?usp=share_link"",""พัทลุง!N320"")+IMPORTRANGE(""https://docs.google.com/spreadsheets/d/1o7UZe4_OqlqtLDHrj01Z2YFRSZDf1DMy1n3XViHaxRc/edit?usp=share_link"",""ภูเก็ต!N320"")+IMPORTRANGE(""https://docs.google.c"&amp;"om/spreadsheets/d/1ctPm1vUzcUCPuOj9-eoHUD85PqINFqUB0TjdSWmR5-c/edit?usp=share_link"",""ยะลา!N320"")+IMPORTRANGE(""https://docs.google.com/spreadsheets/d/1YiDIE7Klmt8osgdapRqYWNr7iPGFSsiJqq46S7PYRE0/edit?usp=share_link"",""ระนอง!N320"")+IMPORTRANGE(""https"&amp;"://docs.google.com/spreadsheets/d/16o_4B-V7AWw_6E93bSpXj_XxVv1oVQctk-B6z1dNEWU/edit?usp=share_link"",""สงขลา!N320"")+IMPORTRANGE(""https://docs.google.com/spreadsheets/d/16cywr71Fj4fA5OGRHsZh30ZG2gwJhMAQv69oVBzYHv0/edit?usp=share_link"",""สตูล!N320"")+IMP"&amp;"ORTRANGE(""https://docs.google.com/spreadsheets/d/1vO9Sws6kMtrVtyvrAJptINXjK8TFBoX9xLYOVK_C8bQ/edit?usp=share_link"",""สุราษฎร์ธานี!N320"")"),1138900)</f>
        <v>1138900</v>
      </c>
      <c r="O320" s="44">
        <f t="shared" ca="1" si="168"/>
        <v>109.40441882804996</v>
      </c>
      <c r="P320" s="44">
        <f t="shared" ca="1" si="169"/>
        <v>100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0.25" customHeight="1">
      <c r="A321" s="158"/>
      <c r="B321" s="32"/>
      <c r="C321" s="159"/>
      <c r="D321" s="33" t="s">
        <v>21</v>
      </c>
      <c r="E321" s="32"/>
      <c r="F321" s="32"/>
      <c r="G321" s="34"/>
      <c r="H321" s="167" t="s">
        <v>12</v>
      </c>
      <c r="I321" s="161"/>
      <c r="J321" s="161"/>
      <c r="K321" s="162"/>
      <c r="L321" s="37">
        <f t="shared" ref="L321:N321" ca="1" si="173">L322+L323</f>
        <v>3600000</v>
      </c>
      <c r="M321" s="37">
        <f t="shared" ca="1" si="173"/>
        <v>3592275.13</v>
      </c>
      <c r="N321" s="37">
        <f t="shared" ca="1" si="173"/>
        <v>3592275.13</v>
      </c>
      <c r="O321" s="37">
        <f t="shared" ca="1" si="168"/>
        <v>99.785420277777774</v>
      </c>
      <c r="P321" s="37">
        <f t="shared" ca="1" si="169"/>
        <v>100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20.25" hidden="1" customHeight="1">
      <c r="A322" s="155"/>
      <c r="B322" s="39"/>
      <c r="C322" s="163"/>
      <c r="D322" s="39"/>
      <c r="E322" s="40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44">
        <f t="shared" si="168"/>
        <v>0</v>
      </c>
      <c r="P322" s="44">
        <f t="shared" si="169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0.25" hidden="1" customHeight="1">
      <c r="A323" s="155"/>
      <c r="B323" s="39"/>
      <c r="C323" s="163"/>
      <c r="D323" s="39"/>
      <c r="E323" s="40" t="s">
        <v>19</v>
      </c>
      <c r="F323" s="39"/>
      <c r="G323" s="156"/>
      <c r="H323" s="168" t="s">
        <v>12</v>
      </c>
      <c r="I323" s="165"/>
      <c r="J323" s="165"/>
      <c r="K323" s="166"/>
      <c r="L323" s="44">
        <f ca="1">IFERROR(__xludf.DUMMYFUNCTION("IMPORTRANGE(""https://docs.google.com/spreadsheets/d/1kC41EOXpGBFOW658Fs3oD8beYlym0-zO54WY-2Qnp9I/edit?usp=share_link"",""กระบี่!L323"")
+IMPORTRANGE(""https://docs.google.com/spreadsheets/d/1FbzMZY_f3MDiEuK7RpCQKrilJ_kpX0Wm7QBZ1L7EjIU/edit?usp=share_link"&amp;""",""ชุมพร!L323"")+IMPORTRANGE(""https://docs.google.com/spreadsheets/d/1v5sN-00LrXuhBxw4dkh2GrG_z4l5oAqOdJRBCsUyMaM/edit?usp=share_link"",""ตรัง!L323"")+IMPORTRANGE(""https://docs.google.com/spreadsheets/d/1T5rRTzFc79aSIvqnzkZNvwPstq829QYz_xALlO1Z0s8/edi"&amp;"t?usp=share_link"",""นครศรีธรรมราช!L323"")+IMPORTRANGE(""https://docs.google.com/spreadsheets/d/1BeghqumK0IvCmRd2QOy6_afsZq7ZtAGrSnVJy2u7WmY/edit?usp=share_link"",""นราธิวาส!L323"")+IMPORTRANGE(""https://docs.google.com/spreadsheets/d/1IwnW3-jjRf74MCLW-6P"&amp;"iFwMUffRQXZwZA7YM609NmRc/edit?usp=share_link"",""ปัตตานี!L323"")+IMPORTRANGE(""https://docs.google.com/spreadsheets/d/1vl4QWbWdFruual5o_wdo6ZSqXZ_it806oja4CctTLKs/edit?usp=share_link"",""พังงา!L323"")+IMPORTRANGE(""https://docs.google.com/spreadsheets/d/1"&amp;"b6QssHQp2FoAPSMKHOy273KNzAomaIKhtdlvuZ_zDNE/edit?usp=share_link"",""พัทลุง!L323"")+IMPORTRANGE(""https://docs.google.com/spreadsheets/d/1o7UZe4_OqlqtLDHrj01Z2YFRSZDf1DMy1n3XViHaxRc/edit?usp=share_link"",""ภูเก็ต!L323"")+IMPORTRANGE(""https://docs.google.c"&amp;"om/spreadsheets/d/1ctPm1vUzcUCPuOj9-eoHUD85PqINFqUB0TjdSWmR5-c/edit?usp=share_link"",""ยะลา!L323"")+IMPORTRANGE(""https://docs.google.com/spreadsheets/d/1YiDIE7Klmt8osgdapRqYWNr7iPGFSsiJqq46S7PYRE0/edit?usp=share_link"",""ระนอง!L323"")+IMPORTRANGE(""https"&amp;"://docs.google.com/spreadsheets/d/16o_4B-V7AWw_6E93bSpXj_XxVv1oVQctk-B6z1dNEWU/edit?usp=share_link"",""สงขลา!L323"")+IMPORTRANGE(""https://docs.google.com/spreadsheets/d/16cywr71Fj4fA5OGRHsZh30ZG2gwJhMAQv69oVBzYHv0/edit?usp=share_link"",""สตูล!L323"")+IMP"&amp;"ORTRANGE(""https://docs.google.com/spreadsheets/d/1vO9Sws6kMtrVtyvrAJptINXjK8TFBoX9xLYOVK_C8bQ/edit?usp=share_link"",""สุราษฎร์ธานี!L323"")"),3600000)</f>
        <v>3600000</v>
      </c>
      <c r="M323" s="44">
        <f ca="1">IFERROR(__xludf.DUMMYFUNCTION("IMPORTRANGE(""https://docs.google.com/spreadsheets/d/1kC41EOXpGBFOW658Fs3oD8beYlym0-zO54WY-2Qnp9I/edit?usp=share_link"",""กระบี่!M323"")
+IMPORTRANGE(""https://docs.google.com/spreadsheets/d/1FbzMZY_f3MDiEuK7RpCQKrilJ_kpX0Wm7QBZ1L7EjIU/edit?usp=share_link"&amp;""",""ชุมพร!M323"")+IMPORTRANGE(""https://docs.google.com/spreadsheets/d/1v5sN-00LrXuhBxw4dkh2GrG_z4l5oAqOdJRBCsUyMaM/edit?usp=share_link"",""ตรัง!M323"")+IMPORTRANGE(""https://docs.google.com/spreadsheets/d/1T5rRTzFc79aSIvqnzkZNvwPstq829QYz_xALlO1Z0s8/edi"&amp;"t?usp=share_link"",""นครศรีธรรมราช!M323"")+IMPORTRANGE(""https://docs.google.com/spreadsheets/d/1BeghqumK0IvCmRd2QOy6_afsZq7ZtAGrSnVJy2u7WmY/edit?usp=share_link"",""นราธิวาส!M323"")+IMPORTRANGE(""https://docs.google.com/spreadsheets/d/1IwnW3-jjRf74MCLW-6P"&amp;"iFwMUffRQXZwZA7YM609NmRc/edit?usp=share_link"",""ปัตตานี!M323"")+IMPORTRANGE(""https://docs.google.com/spreadsheets/d/1vl4QWbWdFruual5o_wdo6ZSqXZ_it806oja4CctTLKs/edit?usp=share_link"",""พังงา!M323"")+IMPORTRANGE(""https://docs.google.com/spreadsheets/d/1"&amp;"b6QssHQp2FoAPSMKHOy273KNzAomaIKhtdlvuZ_zDNE/edit?usp=share_link"",""พัทลุง!M323"")+IMPORTRANGE(""https://docs.google.com/spreadsheets/d/1o7UZe4_OqlqtLDHrj01Z2YFRSZDf1DMy1n3XViHaxRc/edit?usp=share_link"",""ภูเก็ต!M323"")+IMPORTRANGE(""https://docs.google.c"&amp;"om/spreadsheets/d/1ctPm1vUzcUCPuOj9-eoHUD85PqINFqUB0TjdSWmR5-c/edit?usp=share_link"",""ยะลา!M323"")+IMPORTRANGE(""https://docs.google.com/spreadsheets/d/1YiDIE7Klmt8osgdapRqYWNr7iPGFSsiJqq46S7PYRE0/edit?usp=share_link"",""ระนอง!M323"")+IMPORTRANGE(""https"&amp;"://docs.google.com/spreadsheets/d/16o_4B-V7AWw_6E93bSpXj_XxVv1oVQctk-B6z1dNEWU/edit?usp=share_link"",""สงขลา!M323"")+IMPORTRANGE(""https://docs.google.com/spreadsheets/d/16cywr71Fj4fA5OGRHsZh30ZG2gwJhMAQv69oVBzYHv0/edit?usp=share_link"",""สตูล!M323"")+IMP"&amp;"ORTRANGE(""https://docs.google.com/spreadsheets/d/1vO9Sws6kMtrVtyvrAJptINXjK8TFBoX9xLYOVK_C8bQ/edit?usp=share_link"",""สุราษฎร์ธานี!M323"")"),3592275.13)</f>
        <v>3592275.13</v>
      </c>
      <c r="N323" s="44">
        <f ca="1">IFERROR(__xludf.DUMMYFUNCTION("IMPORTRANGE(""https://docs.google.com/spreadsheets/d/1kC41EOXpGBFOW658Fs3oD8beYlym0-zO54WY-2Qnp9I/edit?usp=share_link"",""กระบี่!N323"")
+IMPORTRANGE(""https://docs.google.com/spreadsheets/d/1FbzMZY_f3MDiEuK7RpCQKrilJ_kpX0Wm7QBZ1L7EjIU/edit?usp=share_link"&amp;""",""ชุมพร!N323"")+IMPORTRANGE(""https://docs.google.com/spreadsheets/d/1v5sN-00LrXuhBxw4dkh2GrG_z4l5oAqOdJRBCsUyMaM/edit?usp=share_link"",""ตรัง!N323"")+IMPORTRANGE(""https://docs.google.com/spreadsheets/d/1T5rRTzFc79aSIvqnzkZNvwPstq829QYz_xALlO1Z0s8/edi"&amp;"t?usp=share_link"",""นครศรีธรรมราช!N323"")+IMPORTRANGE(""https://docs.google.com/spreadsheets/d/1BeghqumK0IvCmRd2QOy6_afsZq7ZtAGrSnVJy2u7WmY/edit?usp=share_link"",""นราธิวาส!N323"")+IMPORTRANGE(""https://docs.google.com/spreadsheets/d/1IwnW3-jjRf74MCLW-6P"&amp;"iFwMUffRQXZwZA7YM609NmRc/edit?usp=share_link"",""ปัตตานี!N323"")+IMPORTRANGE(""https://docs.google.com/spreadsheets/d/1vl4QWbWdFruual5o_wdo6ZSqXZ_it806oja4CctTLKs/edit?usp=share_link"",""พังงา!N323"")+IMPORTRANGE(""https://docs.google.com/spreadsheets/d/1"&amp;"b6QssHQp2FoAPSMKHOy273KNzAomaIKhtdlvuZ_zDNE/edit?usp=share_link"",""พัทลุง!N323"")+IMPORTRANGE(""https://docs.google.com/spreadsheets/d/1o7UZe4_OqlqtLDHrj01Z2YFRSZDf1DMy1n3XViHaxRc/edit?usp=share_link"",""ภูเก็ต!N323"")+IMPORTRANGE(""https://docs.google.c"&amp;"om/spreadsheets/d/1ctPm1vUzcUCPuOj9-eoHUD85PqINFqUB0TjdSWmR5-c/edit?usp=share_link"",""ยะลา!N323"")+IMPORTRANGE(""https://docs.google.com/spreadsheets/d/1YiDIE7Klmt8osgdapRqYWNr7iPGFSsiJqq46S7PYRE0/edit?usp=share_link"",""ระนอง!N323"")+IMPORTRANGE(""https"&amp;"://docs.google.com/spreadsheets/d/16o_4B-V7AWw_6E93bSpXj_XxVv1oVQctk-B6z1dNEWU/edit?usp=share_link"",""สงขลา!N323"")+IMPORTRANGE(""https://docs.google.com/spreadsheets/d/16cywr71Fj4fA5OGRHsZh30ZG2gwJhMAQv69oVBzYHv0/edit?usp=share_link"",""สตูล!N323"")+IMP"&amp;"ORTRANGE(""https://docs.google.com/spreadsheets/d/1vO9Sws6kMtrVtyvrAJptINXjK8TFBoX9xLYOVK_C8bQ/edit?usp=share_link"",""สุราษฎร์ธานี!N323"")"),3592275.13)</f>
        <v>3592275.13</v>
      </c>
      <c r="O323" s="44">
        <f t="shared" ca="1" si="168"/>
        <v>99.785420277777774</v>
      </c>
      <c r="P323" s="44">
        <f t="shared" ca="1" si="169"/>
        <v>100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0.25" customHeight="1">
      <c r="A324" s="169"/>
      <c r="B324" s="170"/>
      <c r="C324" s="163" t="s">
        <v>16</v>
      </c>
      <c r="D324" s="171" t="s">
        <v>38</v>
      </c>
      <c r="E324" s="172"/>
      <c r="F324" s="172"/>
      <c r="G324" s="173"/>
      <c r="H324" s="174"/>
      <c r="I324" s="161"/>
      <c r="J324" s="36"/>
      <c r="K324" s="37"/>
      <c r="L324" s="37"/>
      <c r="M324" s="37"/>
      <c r="N324" s="37"/>
      <c r="O324" s="162"/>
      <c r="P324" s="162"/>
    </row>
    <row r="325" spans="1:26" ht="20.25" customHeight="1">
      <c r="A325" s="169"/>
      <c r="B325" s="170"/>
      <c r="C325" s="170"/>
      <c r="D325" s="175" t="s">
        <v>147</v>
      </c>
      <c r="E325" s="177"/>
      <c r="F325" s="180"/>
      <c r="G325" s="178"/>
      <c r="H325" s="35" t="s">
        <v>146</v>
      </c>
      <c r="I325" s="36">
        <f ca="1">IFERROR(__xludf.DUMMYFUNCTION("IMPORTRANGE(""https://docs.google.com/spreadsheets/d/1kC41EOXpGBFOW658Fs3oD8beYlym0-zO54WY-2Qnp9I/edit?usp=share_link"",""กระบี่!I325"")
+IMPORTRANGE(""https://docs.google.com/spreadsheets/d/1FbzMZY_f3MDiEuK7RpCQKrilJ_kpX0Wm7QBZ1L7EjIU/edit?usp=share_link"&amp;""",""ชุมพร!I325"")+IMPORTRANGE(""https://docs.google.com/spreadsheets/d/1v5sN-00LrXuhBxw4dkh2GrG_z4l5oAqOdJRBCsUyMaM/edit?usp=share_link"",""ตรัง!I325"")+IMPORTRANGE(""https://docs.google.com/spreadsheets/d/1T5rRTzFc79aSIvqnzkZNvwPstq829QYz_xALlO1Z0s8/edi"&amp;"t?usp=share_link"",""นครศรีธรรมราช!I325"")+IMPORTRANGE(""https://docs.google.com/spreadsheets/d/1BeghqumK0IvCmRd2QOy6_afsZq7ZtAGrSnVJy2u7WmY/edit?usp=share_link"",""นราธิวาส!I325"")+IMPORTRANGE(""https://docs.google.com/spreadsheets/d/1IwnW3-jjRf74MCLW-6P"&amp;"iFwMUffRQXZwZA7YM609NmRc/edit?usp=share_link"",""ปัตตานี!I325"")+IMPORTRANGE(""https://docs.google.com/spreadsheets/d/1vl4QWbWdFruual5o_wdo6ZSqXZ_it806oja4CctTLKs/edit?usp=share_link"",""พังงา!I325"")+IMPORTRANGE(""https://docs.google.com/spreadsheets/d/1"&amp;"b6QssHQp2FoAPSMKHOy273KNzAomaIKhtdlvuZ_zDNE/edit?usp=share_link"",""พัทลุง!I325"")+IMPORTRANGE(""https://docs.google.com/spreadsheets/d/1o7UZe4_OqlqtLDHrj01Z2YFRSZDf1DMy1n3XViHaxRc/edit?usp=share_link"",""ภูเก็ต!I325"")+IMPORTRANGE(""https://docs.google.c"&amp;"om/spreadsheets/d/1ctPm1vUzcUCPuOj9-eoHUD85PqINFqUB0TjdSWmR5-c/edit?usp=share_link"",""ยะลา!I325"")+IMPORTRANGE(""https://docs.google.com/spreadsheets/d/1YiDIE7Klmt8osgdapRqYWNr7iPGFSsiJqq46S7PYRE0/edit?usp=share_link"",""ระนอง!I325"")+IMPORTRANGE(""https"&amp;"://docs.google.com/spreadsheets/d/16o_4B-V7AWw_6E93bSpXj_XxVv1oVQctk-B6z1dNEWU/edit?usp=share_link"",""สงขลา!I325"")+IMPORTRANGE(""https://docs.google.com/spreadsheets/d/16cywr71Fj4fA5OGRHsZh30ZG2gwJhMAQv69oVBzYHv0/edit?usp=share_link"",""สตูล!I325"")+IMP"&amp;"ORTRANGE(""https://docs.google.com/spreadsheets/d/1vO9Sws6kMtrVtyvrAJptINXjK8TFBoX9xLYOVK_C8bQ/edit?usp=share_link"",""สุราษฎร์ธานี!I325"")"),5)</f>
        <v>5</v>
      </c>
      <c r="J325" s="182">
        <f ca="1">IFERROR(__xludf.DUMMYFUNCTION("IMPORTRANGE(""https://docs.google.com/spreadsheets/d/1kC41EOXpGBFOW658Fs3oD8beYlym0-zO54WY-2Qnp9I/edit?usp=share_link"",""กระบี่!J325"")
+IMPORTRANGE(""https://docs.google.com/spreadsheets/d/1FbzMZY_f3MDiEuK7RpCQKrilJ_kpX0Wm7QBZ1L7EjIU/edit?usp=share_link"&amp;""",""ชุมพร!J325"")+IMPORTRANGE(""https://docs.google.com/spreadsheets/d/1v5sN-00LrXuhBxw4dkh2GrG_z4l5oAqOdJRBCsUyMaM/edit?usp=share_link"",""ตรัง!J325"")+IMPORTRANGE(""https://docs.google.com/spreadsheets/d/1T5rRTzFc79aSIvqnzkZNvwPstq829QYz_xALlO1Z0s8/edi"&amp;"t?usp=share_link"",""นครศรีธรรมราช!J325"")+IMPORTRANGE(""https://docs.google.com/spreadsheets/d/1BeghqumK0IvCmRd2QOy6_afsZq7ZtAGrSnVJy2u7WmY/edit?usp=share_link"",""นราธิวาส!J325"")+IMPORTRANGE(""https://docs.google.com/spreadsheets/d/1IwnW3-jjRf74MCLW-6P"&amp;"iFwMUffRQXZwZA7YM609NmRc/edit?usp=share_link"",""ปัตตานี!J325"")+IMPORTRANGE(""https://docs.google.com/spreadsheets/d/1vl4QWbWdFruual5o_wdo6ZSqXZ_it806oja4CctTLKs/edit?usp=share_link"",""พังงา!J325"")+IMPORTRANGE(""https://docs.google.com/spreadsheets/d/1"&amp;"b6QssHQp2FoAPSMKHOy273KNzAomaIKhtdlvuZ_zDNE/edit?usp=share_link"",""พัทลุง!J325"")+IMPORTRANGE(""https://docs.google.com/spreadsheets/d/1o7UZe4_OqlqtLDHrj01Z2YFRSZDf1DMy1n3XViHaxRc/edit?usp=share_link"",""ภูเก็ต!J325"")+IMPORTRANGE(""https://docs.google.c"&amp;"om/spreadsheets/d/1ctPm1vUzcUCPuOj9-eoHUD85PqINFqUB0TjdSWmR5-c/edit?usp=share_link"",""ยะลา!J325"")+IMPORTRANGE(""https://docs.google.com/spreadsheets/d/1YiDIE7Klmt8osgdapRqYWNr7iPGFSsiJqq46S7PYRE0/edit?usp=share_link"",""ระนอง!J325"")+IMPORTRANGE(""https"&amp;"://docs.google.com/spreadsheets/d/16o_4B-V7AWw_6E93bSpXj_XxVv1oVQctk-B6z1dNEWU/edit?usp=share_link"",""สงขลา!J325"")+IMPORTRANGE(""https://docs.google.com/spreadsheets/d/16cywr71Fj4fA5OGRHsZh30ZG2gwJhMAQv69oVBzYHv0/edit?usp=share_link"",""สตูล!J325"")+IMP"&amp;"ORTRANGE(""https://docs.google.com/spreadsheets/d/1vO9Sws6kMtrVtyvrAJptINXjK8TFBoX9xLYOVK_C8bQ/edit?usp=share_link"",""สุราษฎร์ธานี!J325"")"),5)</f>
        <v>5</v>
      </c>
      <c r="K325" s="37">
        <f ca="1">IF(I325&gt;0,J325*100/I325,0)</f>
        <v>100</v>
      </c>
      <c r="L325" s="37"/>
      <c r="M325" s="37"/>
      <c r="N325" s="37"/>
      <c r="O325" s="162"/>
      <c r="P325" s="162"/>
    </row>
    <row r="326" spans="1:26" ht="20.25" customHeight="1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20.25" customHeight="1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IFERROR(__xludf.DUMMYFUNCTION("IMPORTRANGE(""https://docs.google.com/spreadsheets/d/1kC41EOXpGBFOW658Fs3oD8beYlym0-zO54WY-2Qnp9I/edit?usp=share_link"",""กระบี่!I327"")
+IMPORTRANGE(""https://docs.google.com/spreadsheets/d/1FbzMZY_f3MDiEuK7RpCQKrilJ_kpX0Wm7QBZ1L7EjIU/edit?usp=share_link"&amp;""",""ชุมพร!I327"")+IMPORTRANGE(""https://docs.google.com/spreadsheets/d/1v5sN-00LrXuhBxw4dkh2GrG_z4l5oAqOdJRBCsUyMaM/edit?usp=share_link"",""ตรัง!I327"")+IMPORTRANGE(""https://docs.google.com/spreadsheets/d/1T5rRTzFc79aSIvqnzkZNvwPstq829QYz_xALlO1Z0s8/edi"&amp;"t?usp=share_link"",""นครศรีธรรมราช!I327"")+IMPORTRANGE(""https://docs.google.com/spreadsheets/d/1BeghqumK0IvCmRd2QOy6_afsZq7ZtAGrSnVJy2u7WmY/edit?usp=share_link"",""นราธิวาส!I327"")+IMPORTRANGE(""https://docs.google.com/spreadsheets/d/1IwnW3-jjRf74MCLW-6P"&amp;"iFwMUffRQXZwZA7YM609NmRc/edit?usp=share_link"",""ปัตตานี!I327"")+IMPORTRANGE(""https://docs.google.com/spreadsheets/d/1vl4QWbWdFruual5o_wdo6ZSqXZ_it806oja4CctTLKs/edit?usp=share_link"",""พังงา!I327"")+IMPORTRANGE(""https://docs.google.com/spreadsheets/d/1"&amp;"b6QssHQp2FoAPSMKHOy273KNzAomaIKhtdlvuZ_zDNE/edit?usp=share_link"",""พัทลุง!I327"")+IMPORTRANGE(""https://docs.google.com/spreadsheets/d/1o7UZe4_OqlqtLDHrj01Z2YFRSZDf1DMy1n3XViHaxRc/edit?usp=share_link"",""ภูเก็ต!I327"")+IMPORTRANGE(""https://docs.google.c"&amp;"om/spreadsheets/d/1ctPm1vUzcUCPuOj9-eoHUD85PqINFqUB0TjdSWmR5-c/edit?usp=share_link"",""ยะลา!I327"")+IMPORTRANGE(""https://docs.google.com/spreadsheets/d/1YiDIE7Klmt8osgdapRqYWNr7iPGFSsiJqq46S7PYRE0/edit?usp=share_link"",""ระนอง!I327"")+IMPORTRANGE(""https"&amp;"://docs.google.com/spreadsheets/d/16o_4B-V7AWw_6E93bSpXj_XxVv1oVQctk-B6z1dNEWU/edit?usp=share_link"",""สงขลา!I327"")+IMPORTRANGE(""https://docs.google.com/spreadsheets/d/16cywr71Fj4fA5OGRHsZh30ZG2gwJhMAQv69oVBzYHv0/edit?usp=share_link"",""สตูล!I327"")+IMP"&amp;"ORTRANGE(""https://docs.google.com/spreadsheets/d/1vO9Sws6kMtrVtyvrAJptINXjK8TFBoX9xLYOVK_C8bQ/edit?usp=share_link"",""สุราษฎร์ธานี!I327"")"),18180)</f>
        <v>18180</v>
      </c>
      <c r="J327" s="444">
        <f ca="1">J338+J341+J342+J343</f>
        <v>46529</v>
      </c>
      <c r="K327" s="445">
        <f ca="1">IF(I327&gt;0,J327*100/I327,0)</f>
        <v>255.93509350935093</v>
      </c>
      <c r="L327" s="446"/>
      <c r="M327" s="446"/>
      <c r="N327" s="446"/>
      <c r="O327" s="446"/>
      <c r="P327" s="446"/>
    </row>
    <row r="328" spans="1:26" ht="20.25" customHeight="1">
      <c r="A328" s="146"/>
      <c r="B328" s="147"/>
      <c r="C328" s="148" t="s">
        <v>16</v>
      </c>
      <c r="D328" s="149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74">L329+L330</f>
        <v>2297000</v>
      </c>
      <c r="M328" s="154">
        <f t="shared" ca="1" si="174"/>
        <v>2341000</v>
      </c>
      <c r="N328" s="154">
        <f t="shared" ca="1" si="174"/>
        <v>2341000</v>
      </c>
      <c r="O328" s="154">
        <f t="shared" ref="O328:O336" ca="1" si="175">IF(L328&gt;0,N328*100/L328,0)</f>
        <v>101.91554201131912</v>
      </c>
      <c r="P328" s="154">
        <f t="shared" ref="P328:P336" ca="1" si="176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20.25" hidden="1" customHeight="1">
      <c r="A329" s="155"/>
      <c r="B329" s="39"/>
      <c r="C329" s="39"/>
      <c r="D329" s="39"/>
      <c r="E329" s="40" t="s">
        <v>18</v>
      </c>
      <c r="F329" s="39"/>
      <c r="G329" s="156"/>
      <c r="H329" s="157" t="s">
        <v>12</v>
      </c>
      <c r="I329" s="43"/>
      <c r="J329" s="43"/>
      <c r="K329" s="44"/>
      <c r="L329" s="44">
        <f t="shared" ref="L329:N329" si="177">L332+L335</f>
        <v>0</v>
      </c>
      <c r="M329" s="44">
        <f t="shared" si="177"/>
        <v>0</v>
      </c>
      <c r="N329" s="44">
        <f t="shared" si="177"/>
        <v>0</v>
      </c>
      <c r="O329" s="44">
        <f t="shared" si="175"/>
        <v>0</v>
      </c>
      <c r="P329" s="44">
        <f t="shared" si="176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0.25" hidden="1" customHeight="1">
      <c r="A330" s="155"/>
      <c r="B330" s="39"/>
      <c r="C330" s="39"/>
      <c r="D330" s="39"/>
      <c r="E330" s="40" t="s">
        <v>19</v>
      </c>
      <c r="F330" s="39"/>
      <c r="G330" s="156"/>
      <c r="H330" s="157" t="s">
        <v>12</v>
      </c>
      <c r="I330" s="43"/>
      <c r="J330" s="43"/>
      <c r="K330" s="44"/>
      <c r="L330" s="44">
        <f t="shared" ref="L330:N330" ca="1" si="178">L333+L336</f>
        <v>2297000</v>
      </c>
      <c r="M330" s="44">
        <f t="shared" ca="1" si="178"/>
        <v>2341000</v>
      </c>
      <c r="N330" s="44">
        <f t="shared" ca="1" si="178"/>
        <v>2341000</v>
      </c>
      <c r="O330" s="44">
        <f t="shared" ca="1" si="175"/>
        <v>101.91554201131912</v>
      </c>
      <c r="P330" s="44">
        <f t="shared" ca="1" si="176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0.25" customHeight="1">
      <c r="A331" s="158"/>
      <c r="B331" s="32"/>
      <c r="C331" s="159"/>
      <c r="D331" s="33" t="s">
        <v>20</v>
      </c>
      <c r="E331" s="32"/>
      <c r="F331" s="32"/>
      <c r="G331" s="34"/>
      <c r="H331" s="160" t="s">
        <v>12</v>
      </c>
      <c r="I331" s="161"/>
      <c r="J331" s="161"/>
      <c r="K331" s="162"/>
      <c r="L331" s="37">
        <f t="shared" ref="L331:N331" ca="1" si="179">L332+L333</f>
        <v>2297000</v>
      </c>
      <c r="M331" s="37">
        <f t="shared" ca="1" si="179"/>
        <v>2332000</v>
      </c>
      <c r="N331" s="37">
        <f t="shared" ca="1" si="179"/>
        <v>2332000</v>
      </c>
      <c r="O331" s="37">
        <f t="shared" ca="1" si="175"/>
        <v>101.52372659991293</v>
      </c>
      <c r="P331" s="37">
        <f t="shared" ca="1" si="176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20.25" hidden="1" customHeight="1">
      <c r="A332" s="155"/>
      <c r="B332" s="39"/>
      <c r="C332" s="163"/>
      <c r="D332" s="39"/>
      <c r="E332" s="40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44">
        <f t="shared" si="175"/>
        <v>0</v>
      </c>
      <c r="P332" s="44">
        <f t="shared" si="176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0.25" hidden="1" customHeight="1">
      <c r="A333" s="155"/>
      <c r="B333" s="39"/>
      <c r="C333" s="163"/>
      <c r="D333" s="39"/>
      <c r="E333" s="40" t="s">
        <v>37</v>
      </c>
      <c r="F333" s="39"/>
      <c r="G333" s="156"/>
      <c r="H333" s="164" t="s">
        <v>12</v>
      </c>
      <c r="I333" s="165"/>
      <c r="J333" s="165"/>
      <c r="K333" s="166"/>
      <c r="L333" s="44">
        <f ca="1">IFERROR(__xludf.DUMMYFUNCTION("IMPORTRANGE(""https://docs.google.com/spreadsheets/d/1kC41EOXpGBFOW658Fs3oD8beYlym0-zO54WY-2Qnp9I/edit?usp=share_link"",""กระบี่!L333"")
+IMPORTRANGE(""https://docs.google.com/spreadsheets/d/1FbzMZY_f3MDiEuK7RpCQKrilJ_kpX0Wm7QBZ1L7EjIU/edit?usp=share_link"&amp;""",""ชุมพร!L333"")+IMPORTRANGE(""https://docs.google.com/spreadsheets/d/1v5sN-00LrXuhBxw4dkh2GrG_z4l5oAqOdJRBCsUyMaM/edit?usp=share_link"",""ตรัง!L333"")+IMPORTRANGE(""https://docs.google.com/spreadsheets/d/1T5rRTzFc79aSIvqnzkZNvwPstq829QYz_xALlO1Z0s8/edi"&amp;"t?usp=share_link"",""นครศรีธรรมราช!L333"")+IMPORTRANGE(""https://docs.google.com/spreadsheets/d/1BeghqumK0IvCmRd2QOy6_afsZq7ZtAGrSnVJy2u7WmY/edit?usp=share_link"",""นราธิวาส!L333"")+IMPORTRANGE(""https://docs.google.com/spreadsheets/d/1IwnW3-jjRf74MCLW-6P"&amp;"iFwMUffRQXZwZA7YM609NmRc/edit?usp=share_link"",""ปัตตานี!L333"")+IMPORTRANGE(""https://docs.google.com/spreadsheets/d/1vl4QWbWdFruual5o_wdo6ZSqXZ_it806oja4CctTLKs/edit?usp=share_link"",""พังงา!L333"")+IMPORTRANGE(""https://docs.google.com/spreadsheets/d/1"&amp;"b6QssHQp2FoAPSMKHOy273KNzAomaIKhtdlvuZ_zDNE/edit?usp=share_link"",""พัทลุง!L333"")+IMPORTRANGE(""https://docs.google.com/spreadsheets/d/1o7UZe4_OqlqtLDHrj01Z2YFRSZDf1DMy1n3XViHaxRc/edit?usp=share_link"",""ภูเก็ต!L333"")+IMPORTRANGE(""https://docs.google.c"&amp;"om/spreadsheets/d/1ctPm1vUzcUCPuOj9-eoHUD85PqINFqUB0TjdSWmR5-c/edit?usp=share_link"",""ยะลา!L333"")+IMPORTRANGE(""https://docs.google.com/spreadsheets/d/1YiDIE7Klmt8osgdapRqYWNr7iPGFSsiJqq46S7PYRE0/edit?usp=share_link"",""ระนอง!L333"")+IMPORTRANGE(""https"&amp;"://docs.google.com/spreadsheets/d/16o_4B-V7AWw_6E93bSpXj_XxVv1oVQctk-B6z1dNEWU/edit?usp=share_link"",""สงขลา!L333"")+IMPORTRANGE(""https://docs.google.com/spreadsheets/d/16cywr71Fj4fA5OGRHsZh30ZG2gwJhMAQv69oVBzYHv0/edit?usp=share_link"",""สตูล!L333"")+IMP"&amp;"ORTRANGE(""https://docs.google.com/spreadsheets/d/1vO9Sws6kMtrVtyvrAJptINXjK8TFBoX9xLYOVK_C8bQ/edit?usp=share_link"",""สุราษฎร์ธานี!L333"")"),2297000)</f>
        <v>2297000</v>
      </c>
      <c r="M333" s="44">
        <f ca="1">IFERROR(__xludf.DUMMYFUNCTION("IMPORTRANGE(""https://docs.google.com/spreadsheets/d/1kC41EOXpGBFOW658Fs3oD8beYlym0-zO54WY-2Qnp9I/edit?usp=share_link"",""กระบี่!M333"")
+IMPORTRANGE(""https://docs.google.com/spreadsheets/d/1FbzMZY_f3MDiEuK7RpCQKrilJ_kpX0Wm7QBZ1L7EjIU/edit?usp=share_link"&amp;""",""ชุมพร!M333"")+IMPORTRANGE(""https://docs.google.com/spreadsheets/d/1v5sN-00LrXuhBxw4dkh2GrG_z4l5oAqOdJRBCsUyMaM/edit?usp=share_link"",""ตรัง!M333"")+IMPORTRANGE(""https://docs.google.com/spreadsheets/d/1T5rRTzFc79aSIvqnzkZNvwPstq829QYz_xALlO1Z0s8/edi"&amp;"t?usp=share_link"",""นครศรีธรรมราช!M333"")+IMPORTRANGE(""https://docs.google.com/spreadsheets/d/1BeghqumK0IvCmRd2QOy6_afsZq7ZtAGrSnVJy2u7WmY/edit?usp=share_link"",""นราธิวาส!M333"")+IMPORTRANGE(""https://docs.google.com/spreadsheets/d/1IwnW3-jjRf74MCLW-6P"&amp;"iFwMUffRQXZwZA7YM609NmRc/edit?usp=share_link"",""ปัตตานี!M333"")+IMPORTRANGE(""https://docs.google.com/spreadsheets/d/1vl4QWbWdFruual5o_wdo6ZSqXZ_it806oja4CctTLKs/edit?usp=share_link"",""พังงา!M333"")+IMPORTRANGE(""https://docs.google.com/spreadsheets/d/1"&amp;"b6QssHQp2FoAPSMKHOy273KNzAomaIKhtdlvuZ_zDNE/edit?usp=share_link"",""พัทลุง!M333"")+IMPORTRANGE(""https://docs.google.com/spreadsheets/d/1o7UZe4_OqlqtLDHrj01Z2YFRSZDf1DMy1n3XViHaxRc/edit?usp=share_link"",""ภูเก็ต!M333"")+IMPORTRANGE(""https://docs.google.c"&amp;"om/spreadsheets/d/1ctPm1vUzcUCPuOj9-eoHUD85PqINFqUB0TjdSWmR5-c/edit?usp=share_link"",""ยะลา!M333"")+IMPORTRANGE(""https://docs.google.com/spreadsheets/d/1YiDIE7Klmt8osgdapRqYWNr7iPGFSsiJqq46S7PYRE0/edit?usp=share_link"",""ระนอง!M333"")+IMPORTRANGE(""https"&amp;"://docs.google.com/spreadsheets/d/16o_4B-V7AWw_6E93bSpXj_XxVv1oVQctk-B6z1dNEWU/edit?usp=share_link"",""สงขลา!M333"")+IMPORTRANGE(""https://docs.google.com/spreadsheets/d/16cywr71Fj4fA5OGRHsZh30ZG2gwJhMAQv69oVBzYHv0/edit?usp=share_link"",""สตูล!M333"")+IMP"&amp;"ORTRANGE(""https://docs.google.com/spreadsheets/d/1vO9Sws6kMtrVtyvrAJptINXjK8TFBoX9xLYOVK_C8bQ/edit?usp=share_link"",""สุราษฎร์ธานี!M333"")"),2332000)</f>
        <v>2332000</v>
      </c>
      <c r="N333" s="44">
        <f ca="1">IFERROR(__xludf.DUMMYFUNCTION("IMPORTRANGE(""https://docs.google.com/spreadsheets/d/1kC41EOXpGBFOW658Fs3oD8beYlym0-zO54WY-2Qnp9I/edit?usp=share_link"",""กระบี่!N333"")
+IMPORTRANGE(""https://docs.google.com/spreadsheets/d/1FbzMZY_f3MDiEuK7RpCQKrilJ_kpX0Wm7QBZ1L7EjIU/edit?usp=share_link"&amp;""",""ชุมพร!N333"")+IMPORTRANGE(""https://docs.google.com/spreadsheets/d/1v5sN-00LrXuhBxw4dkh2GrG_z4l5oAqOdJRBCsUyMaM/edit?usp=share_link"",""ตรัง!N333"")+IMPORTRANGE(""https://docs.google.com/spreadsheets/d/1T5rRTzFc79aSIvqnzkZNvwPstq829QYz_xALlO1Z0s8/edi"&amp;"t?usp=share_link"",""นครศรีธรรมราช!N333"")+IMPORTRANGE(""https://docs.google.com/spreadsheets/d/1BeghqumK0IvCmRd2QOy6_afsZq7ZtAGrSnVJy2u7WmY/edit?usp=share_link"",""นราธิวาส!N333"")+IMPORTRANGE(""https://docs.google.com/spreadsheets/d/1IwnW3-jjRf74MCLW-6P"&amp;"iFwMUffRQXZwZA7YM609NmRc/edit?usp=share_link"",""ปัตตานี!N333"")+IMPORTRANGE(""https://docs.google.com/spreadsheets/d/1vl4QWbWdFruual5o_wdo6ZSqXZ_it806oja4CctTLKs/edit?usp=share_link"",""พังงา!N333"")+IMPORTRANGE(""https://docs.google.com/spreadsheets/d/1"&amp;"b6QssHQp2FoAPSMKHOy273KNzAomaIKhtdlvuZ_zDNE/edit?usp=share_link"",""พัทลุง!N333"")+IMPORTRANGE(""https://docs.google.com/spreadsheets/d/1o7UZe4_OqlqtLDHrj01Z2YFRSZDf1DMy1n3XViHaxRc/edit?usp=share_link"",""ภูเก็ต!N333"")+IMPORTRANGE(""https://docs.google.c"&amp;"om/spreadsheets/d/1ctPm1vUzcUCPuOj9-eoHUD85PqINFqUB0TjdSWmR5-c/edit?usp=share_link"",""ยะลา!N333"")+IMPORTRANGE(""https://docs.google.com/spreadsheets/d/1YiDIE7Klmt8osgdapRqYWNr7iPGFSsiJqq46S7PYRE0/edit?usp=share_link"",""ระนอง!N333"")+IMPORTRANGE(""https"&amp;"://docs.google.com/spreadsheets/d/16o_4B-V7AWw_6E93bSpXj_XxVv1oVQctk-B6z1dNEWU/edit?usp=share_link"",""สงขลา!N333"")+IMPORTRANGE(""https://docs.google.com/spreadsheets/d/16cywr71Fj4fA5OGRHsZh30ZG2gwJhMAQv69oVBzYHv0/edit?usp=share_link"",""สตูล!N333"")+IMP"&amp;"ORTRANGE(""https://docs.google.com/spreadsheets/d/1vO9Sws6kMtrVtyvrAJptINXjK8TFBoX9xLYOVK_C8bQ/edit?usp=share_link"",""สุราษฎร์ธานี!N333"")"),2332000)</f>
        <v>2332000</v>
      </c>
      <c r="O333" s="44">
        <f t="shared" ca="1" si="175"/>
        <v>101.52372659991293</v>
      </c>
      <c r="P333" s="44">
        <f t="shared" ca="1" si="176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0.25" customHeight="1">
      <c r="A334" s="158"/>
      <c r="B334" s="32"/>
      <c r="C334" s="159"/>
      <c r="D334" s="33" t="s">
        <v>21</v>
      </c>
      <c r="E334" s="32"/>
      <c r="F334" s="32"/>
      <c r="G334" s="34"/>
      <c r="H334" s="167" t="s">
        <v>12</v>
      </c>
      <c r="I334" s="161"/>
      <c r="J334" s="161"/>
      <c r="K334" s="162"/>
      <c r="L334" s="37">
        <f t="shared" ref="L334:N334" ca="1" si="180">L335+L336</f>
        <v>0</v>
      </c>
      <c r="M334" s="37">
        <f t="shared" ca="1" si="180"/>
        <v>9000</v>
      </c>
      <c r="N334" s="37">
        <f t="shared" ca="1" si="180"/>
        <v>9000</v>
      </c>
      <c r="O334" s="37">
        <f t="shared" ca="1" si="175"/>
        <v>0</v>
      </c>
      <c r="P334" s="37">
        <f t="shared" ca="1" si="176"/>
        <v>100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20.25" hidden="1" customHeight="1">
      <c r="A335" s="155"/>
      <c r="B335" s="39"/>
      <c r="C335" s="163"/>
      <c r="D335" s="39"/>
      <c r="E335" s="40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44">
        <f t="shared" si="175"/>
        <v>0</v>
      </c>
      <c r="P335" s="44">
        <f t="shared" si="176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0.25" hidden="1" customHeight="1">
      <c r="A336" s="155"/>
      <c r="B336" s="39"/>
      <c r="C336" s="163"/>
      <c r="D336" s="39"/>
      <c r="E336" s="40" t="s">
        <v>19</v>
      </c>
      <c r="F336" s="39"/>
      <c r="G336" s="156"/>
      <c r="H336" s="168" t="s">
        <v>12</v>
      </c>
      <c r="I336" s="165"/>
      <c r="J336" s="165"/>
      <c r="K336" s="166"/>
      <c r="L336" s="44">
        <f ca="1">IFERROR(__xludf.DUMMYFUNCTION("IMPORTRANGE(""https://docs.google.com/spreadsheets/d/1kC41EOXpGBFOW658Fs3oD8beYlym0-zO54WY-2Qnp9I/edit?usp=share_link"",""กระบี่!L336"")
+IMPORTRANGE(""https://docs.google.com/spreadsheets/d/1FbzMZY_f3MDiEuK7RpCQKrilJ_kpX0Wm7QBZ1L7EjIU/edit?usp=share_link"&amp;""",""ชุมพร!L336"")+IMPORTRANGE(""https://docs.google.com/spreadsheets/d/1v5sN-00LrXuhBxw4dkh2GrG_z4l5oAqOdJRBCsUyMaM/edit?usp=share_link"",""ตรัง!L336"")+IMPORTRANGE(""https://docs.google.com/spreadsheets/d/1T5rRTzFc79aSIvqnzkZNvwPstq829QYz_xALlO1Z0s8/edi"&amp;"t?usp=share_link"",""นครศรีธรรมราช!L336"")+IMPORTRANGE(""https://docs.google.com/spreadsheets/d/1BeghqumK0IvCmRd2QOy6_afsZq7ZtAGrSnVJy2u7WmY/edit?usp=share_link"",""นราธิวาส!L336"")+IMPORTRANGE(""https://docs.google.com/spreadsheets/d/1IwnW3-jjRf74MCLW-6P"&amp;"iFwMUffRQXZwZA7YM609NmRc/edit?usp=share_link"",""ปัตตานี!L336"")+IMPORTRANGE(""https://docs.google.com/spreadsheets/d/1vl4QWbWdFruual5o_wdo6ZSqXZ_it806oja4CctTLKs/edit?usp=share_link"",""พังงา!L336"")+IMPORTRANGE(""https://docs.google.com/spreadsheets/d/1"&amp;"b6QssHQp2FoAPSMKHOy273KNzAomaIKhtdlvuZ_zDNE/edit?usp=share_link"",""พัทลุง!L336"")+IMPORTRANGE(""https://docs.google.com/spreadsheets/d/1o7UZe4_OqlqtLDHrj01Z2YFRSZDf1DMy1n3XViHaxRc/edit?usp=share_link"",""ภูเก็ต!L336"")+IMPORTRANGE(""https://docs.google.c"&amp;"om/spreadsheets/d/1ctPm1vUzcUCPuOj9-eoHUD85PqINFqUB0TjdSWmR5-c/edit?usp=share_link"",""ยะลา!L336"")+IMPORTRANGE(""https://docs.google.com/spreadsheets/d/1YiDIE7Klmt8osgdapRqYWNr7iPGFSsiJqq46S7PYRE0/edit?usp=share_link"",""ระนอง!L336"")+IMPORTRANGE(""https"&amp;"://docs.google.com/spreadsheets/d/16o_4B-V7AWw_6E93bSpXj_XxVv1oVQctk-B6z1dNEWU/edit?usp=share_link"",""สงขลา!L336"")+IMPORTRANGE(""https://docs.google.com/spreadsheets/d/16cywr71Fj4fA5OGRHsZh30ZG2gwJhMAQv69oVBzYHv0/edit?usp=share_link"",""สตูล!L336"")+IMP"&amp;"ORTRANGE(""https://docs.google.com/spreadsheets/d/1vO9Sws6kMtrVtyvrAJptINXjK8TFBoX9xLYOVK_C8bQ/edit?usp=share_link"",""สุราษฎร์ธานี!L336"")"),0)</f>
        <v>0</v>
      </c>
      <c r="M336" s="44">
        <f ca="1">IFERROR(__xludf.DUMMYFUNCTION("IMPORTRANGE(""https://docs.google.com/spreadsheets/d/1kC41EOXpGBFOW658Fs3oD8beYlym0-zO54WY-2Qnp9I/edit?usp=share_link"",""กระบี่!M336"")
+IMPORTRANGE(""https://docs.google.com/spreadsheets/d/1FbzMZY_f3MDiEuK7RpCQKrilJ_kpX0Wm7QBZ1L7EjIU/edit?usp=share_link"&amp;""",""ชุมพร!M336"")+IMPORTRANGE(""https://docs.google.com/spreadsheets/d/1v5sN-00LrXuhBxw4dkh2GrG_z4l5oAqOdJRBCsUyMaM/edit?usp=share_link"",""ตรัง!M336"")+IMPORTRANGE(""https://docs.google.com/spreadsheets/d/1T5rRTzFc79aSIvqnzkZNvwPstq829QYz_xALlO1Z0s8/edi"&amp;"t?usp=share_link"",""นครศรีธรรมราช!M336"")+IMPORTRANGE(""https://docs.google.com/spreadsheets/d/1BeghqumK0IvCmRd2QOy6_afsZq7ZtAGrSnVJy2u7WmY/edit?usp=share_link"",""นราธิวาส!M336"")+IMPORTRANGE(""https://docs.google.com/spreadsheets/d/1IwnW3-jjRf74MCLW-6P"&amp;"iFwMUffRQXZwZA7YM609NmRc/edit?usp=share_link"",""ปัตตานี!M336"")+IMPORTRANGE(""https://docs.google.com/spreadsheets/d/1vl4QWbWdFruual5o_wdo6ZSqXZ_it806oja4CctTLKs/edit?usp=share_link"",""พังงา!M336"")+IMPORTRANGE(""https://docs.google.com/spreadsheets/d/1"&amp;"b6QssHQp2FoAPSMKHOy273KNzAomaIKhtdlvuZ_zDNE/edit?usp=share_link"",""พัทลุง!M336"")+IMPORTRANGE(""https://docs.google.com/spreadsheets/d/1o7UZe4_OqlqtLDHrj01Z2YFRSZDf1DMy1n3XViHaxRc/edit?usp=share_link"",""ภูเก็ต!M336"")+IMPORTRANGE(""https://docs.google.c"&amp;"om/spreadsheets/d/1ctPm1vUzcUCPuOj9-eoHUD85PqINFqUB0TjdSWmR5-c/edit?usp=share_link"",""ยะลา!M336"")+IMPORTRANGE(""https://docs.google.com/spreadsheets/d/1YiDIE7Klmt8osgdapRqYWNr7iPGFSsiJqq46S7PYRE0/edit?usp=share_link"",""ระนอง!M336"")+IMPORTRANGE(""https"&amp;"://docs.google.com/spreadsheets/d/16o_4B-V7AWw_6E93bSpXj_XxVv1oVQctk-B6z1dNEWU/edit?usp=share_link"",""สงขลา!M336"")+IMPORTRANGE(""https://docs.google.com/spreadsheets/d/16cywr71Fj4fA5OGRHsZh30ZG2gwJhMAQv69oVBzYHv0/edit?usp=share_link"",""สตูล!M336"")+IMP"&amp;"ORTRANGE(""https://docs.google.com/spreadsheets/d/1vO9Sws6kMtrVtyvrAJptINXjK8TFBoX9xLYOVK_C8bQ/edit?usp=share_link"",""สุราษฎร์ธานี!M336"")"),9000)</f>
        <v>9000</v>
      </c>
      <c r="N336" s="44">
        <f ca="1">IFERROR(__xludf.DUMMYFUNCTION("IMPORTRANGE(""https://docs.google.com/spreadsheets/d/1kC41EOXpGBFOW658Fs3oD8beYlym0-zO54WY-2Qnp9I/edit?usp=share_link"",""กระบี่!N336"")
+IMPORTRANGE(""https://docs.google.com/spreadsheets/d/1FbzMZY_f3MDiEuK7RpCQKrilJ_kpX0Wm7QBZ1L7EjIU/edit?usp=share_link"&amp;""",""ชุมพร!N336"")+IMPORTRANGE(""https://docs.google.com/spreadsheets/d/1v5sN-00LrXuhBxw4dkh2GrG_z4l5oAqOdJRBCsUyMaM/edit?usp=share_link"",""ตรัง!N336"")+IMPORTRANGE(""https://docs.google.com/spreadsheets/d/1T5rRTzFc79aSIvqnzkZNvwPstq829QYz_xALlO1Z0s8/edi"&amp;"t?usp=share_link"",""นครศรีธรรมราช!N336"")+IMPORTRANGE(""https://docs.google.com/spreadsheets/d/1BeghqumK0IvCmRd2QOy6_afsZq7ZtAGrSnVJy2u7WmY/edit?usp=share_link"",""นราธิวาส!N336"")+IMPORTRANGE(""https://docs.google.com/spreadsheets/d/1IwnW3-jjRf74MCLW-6P"&amp;"iFwMUffRQXZwZA7YM609NmRc/edit?usp=share_link"",""ปัตตานี!N336"")+IMPORTRANGE(""https://docs.google.com/spreadsheets/d/1vl4QWbWdFruual5o_wdo6ZSqXZ_it806oja4CctTLKs/edit?usp=share_link"",""พังงา!N336"")+IMPORTRANGE(""https://docs.google.com/spreadsheets/d/1"&amp;"b6QssHQp2FoAPSMKHOy273KNzAomaIKhtdlvuZ_zDNE/edit?usp=share_link"",""พัทลุง!N336"")+IMPORTRANGE(""https://docs.google.com/spreadsheets/d/1o7UZe4_OqlqtLDHrj01Z2YFRSZDf1DMy1n3XViHaxRc/edit?usp=share_link"",""ภูเก็ต!N336"")+IMPORTRANGE(""https://docs.google.c"&amp;"om/spreadsheets/d/1ctPm1vUzcUCPuOj9-eoHUD85PqINFqUB0TjdSWmR5-c/edit?usp=share_link"",""ยะลา!N336"")+IMPORTRANGE(""https://docs.google.com/spreadsheets/d/1YiDIE7Klmt8osgdapRqYWNr7iPGFSsiJqq46S7PYRE0/edit?usp=share_link"",""ระนอง!N336"")+IMPORTRANGE(""https"&amp;"://docs.google.com/spreadsheets/d/16o_4B-V7AWw_6E93bSpXj_XxVv1oVQctk-B6z1dNEWU/edit?usp=share_link"",""สงขลา!N336"")+IMPORTRANGE(""https://docs.google.com/spreadsheets/d/16cywr71Fj4fA5OGRHsZh30ZG2gwJhMAQv69oVBzYHv0/edit?usp=share_link"",""สตูล!N336"")+IMP"&amp;"ORTRANGE(""https://docs.google.com/spreadsheets/d/1vO9Sws6kMtrVtyvrAJptINXjK8TFBoX9xLYOVK_C8bQ/edit?usp=share_link"",""สุราษฎร์ธานี!N336"")"),9000)</f>
        <v>9000</v>
      </c>
      <c r="O336" s="44">
        <f t="shared" ca="1" si="175"/>
        <v>0</v>
      </c>
      <c r="P336" s="44">
        <f t="shared" ca="1" si="176"/>
        <v>100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0.25" customHeight="1">
      <c r="A337" s="169"/>
      <c r="B337" s="170"/>
      <c r="C337" s="163" t="s">
        <v>16</v>
      </c>
      <c r="D337" s="171" t="s">
        <v>38</v>
      </c>
      <c r="E337" s="172"/>
      <c r="F337" s="172"/>
      <c r="G337" s="173"/>
      <c r="H337" s="174"/>
      <c r="I337" s="161"/>
      <c r="J337" s="36"/>
      <c r="K337" s="37"/>
      <c r="L337" s="37"/>
      <c r="M337" s="37"/>
      <c r="N337" s="37"/>
      <c r="O337" s="162"/>
      <c r="P337" s="162"/>
    </row>
    <row r="338" spans="1:26" ht="20.25" customHeight="1">
      <c r="A338" s="283"/>
      <c r="B338" s="32"/>
      <c r="C338" s="280"/>
      <c r="D338" s="180" t="s">
        <v>150</v>
      </c>
      <c r="E338" s="170"/>
      <c r="F338" s="32"/>
      <c r="G338" s="34"/>
      <c r="H338" s="276" t="s">
        <v>35</v>
      </c>
      <c r="I338" s="36">
        <f ca="1">IFERROR(__xludf.DUMMYFUNCTION("IMPORTRANGE(""https://docs.google.com/spreadsheets/d/1kC41EOXpGBFOW658Fs3oD8beYlym0-zO54WY-2Qnp9I/edit?usp=share_link"",""กระบี่!I338"")
+IMPORTRANGE(""https://docs.google.com/spreadsheets/d/1FbzMZY_f3MDiEuK7RpCQKrilJ_kpX0Wm7QBZ1L7EjIU/edit?usp=share_link"&amp;""",""ชุมพร!I338"")+IMPORTRANGE(""https://docs.google.com/spreadsheets/d/1v5sN-00LrXuhBxw4dkh2GrG_z4l5oAqOdJRBCsUyMaM/edit?usp=share_link"",""ตรัง!I338"")+IMPORTRANGE(""https://docs.google.com/spreadsheets/d/1T5rRTzFc79aSIvqnzkZNvwPstq829QYz_xALlO1Z0s8/edi"&amp;"t?usp=share_link"",""นครศรีธรรมราช!I338"")+IMPORTRANGE(""https://docs.google.com/spreadsheets/d/1BeghqumK0IvCmRd2QOy6_afsZq7ZtAGrSnVJy2u7WmY/edit?usp=share_link"",""นราธิวาส!I338"")+IMPORTRANGE(""https://docs.google.com/spreadsheets/d/1IwnW3-jjRf74MCLW-6P"&amp;"iFwMUffRQXZwZA7YM609NmRc/edit?usp=share_link"",""ปัตตานี!I338"")+IMPORTRANGE(""https://docs.google.com/spreadsheets/d/1vl4QWbWdFruual5o_wdo6ZSqXZ_it806oja4CctTLKs/edit?usp=share_link"",""พังงา!I338"")+IMPORTRANGE(""https://docs.google.com/spreadsheets/d/1"&amp;"b6QssHQp2FoAPSMKHOy273KNzAomaIKhtdlvuZ_zDNE/edit?usp=share_link"",""พัทลุง!I338"")+IMPORTRANGE(""https://docs.google.com/spreadsheets/d/1o7UZe4_OqlqtLDHrj01Z2YFRSZDf1DMy1n3XViHaxRc/edit?usp=share_link"",""ภูเก็ต!I338"")+IMPORTRANGE(""https://docs.google.c"&amp;"om/spreadsheets/d/1ctPm1vUzcUCPuOj9-eoHUD85PqINFqUB0TjdSWmR5-c/edit?usp=share_link"",""ยะลา!I338"")+IMPORTRANGE(""https://docs.google.com/spreadsheets/d/1YiDIE7Klmt8osgdapRqYWNr7iPGFSsiJqq46S7PYRE0/edit?usp=share_link"",""ระนอง!I338"")+IMPORTRANGE(""https"&amp;"://docs.google.com/spreadsheets/d/16o_4B-V7AWw_6E93bSpXj_XxVv1oVQctk-B6z1dNEWU/edit?usp=share_link"",""สงขลา!I338"")+IMPORTRANGE(""https://docs.google.com/spreadsheets/d/16cywr71Fj4fA5OGRHsZh30ZG2gwJhMAQv69oVBzYHv0/edit?usp=share_link"",""สตูล!I338"")+IMP"&amp;"ORTRANGE(""https://docs.google.com/spreadsheets/d/1vO9Sws6kMtrVtyvrAJptINXjK8TFBoX9xLYOVK_C8bQ/edit?usp=share_link"",""สุราษฎร์ธานี!I338"")"),18180)</f>
        <v>18180</v>
      </c>
      <c r="J338" s="269">
        <f ca="1">IFERROR(__xludf.DUMMYFUNCTION("IMPORTRANGE(""https://docs.google.com/spreadsheets/d/1kC41EOXpGBFOW658Fs3oD8beYlym0-zO54WY-2Qnp9I/edit?usp=share_link"",""กระบี่!J338"")
+IMPORTRANGE(""https://docs.google.com/spreadsheets/d/1FbzMZY_f3MDiEuK7RpCQKrilJ_kpX0Wm7QBZ1L7EjIU/edit?usp=share_link"&amp;""",""ชุมพร!J338"")+IMPORTRANGE(""https://docs.google.com/spreadsheets/d/1v5sN-00LrXuhBxw4dkh2GrG_z4l5oAqOdJRBCsUyMaM/edit?usp=share_link"",""ตรัง!J338"")+IMPORTRANGE(""https://docs.google.com/spreadsheets/d/1T5rRTzFc79aSIvqnzkZNvwPstq829QYz_xALlO1Z0s8/edi"&amp;"t?usp=share_link"",""นครศรีธรรมราช!J338"")+IMPORTRANGE(""https://docs.google.com/spreadsheets/d/1BeghqumK0IvCmRd2QOy6_afsZq7ZtAGrSnVJy2u7WmY/edit?usp=share_link"",""นราธิวาส!J338"")+IMPORTRANGE(""https://docs.google.com/spreadsheets/d/1IwnW3-jjRf74MCLW-6P"&amp;"iFwMUffRQXZwZA7YM609NmRc/edit?usp=share_link"",""ปัตตานี!J338"")+IMPORTRANGE(""https://docs.google.com/spreadsheets/d/1vl4QWbWdFruual5o_wdo6ZSqXZ_it806oja4CctTLKs/edit?usp=share_link"",""พังงา!J338"")+IMPORTRANGE(""https://docs.google.com/spreadsheets/d/1"&amp;"b6QssHQp2FoAPSMKHOy273KNzAomaIKhtdlvuZ_zDNE/edit?usp=share_link"",""พัทลุง!J338"")+IMPORTRANGE(""https://docs.google.com/spreadsheets/d/1o7UZe4_OqlqtLDHrj01Z2YFRSZDf1DMy1n3XViHaxRc/edit?usp=share_link"",""ภูเก็ต!J338"")+IMPORTRANGE(""https://docs.google.c"&amp;"om/spreadsheets/d/1ctPm1vUzcUCPuOj9-eoHUD85PqINFqUB0TjdSWmR5-c/edit?usp=share_link"",""ยะลา!J338"")+IMPORTRANGE(""https://docs.google.com/spreadsheets/d/1YiDIE7Klmt8osgdapRqYWNr7iPGFSsiJqq46S7PYRE0/edit?usp=share_link"",""ระนอง!J338"")+IMPORTRANGE(""https"&amp;"://docs.google.com/spreadsheets/d/16o_4B-V7AWw_6E93bSpXj_XxVv1oVQctk-B6z1dNEWU/edit?usp=share_link"",""สงขลา!J338"")+IMPORTRANGE(""https://docs.google.com/spreadsheets/d/16cywr71Fj4fA5OGRHsZh30ZG2gwJhMAQv69oVBzYHv0/edit?usp=share_link"",""สตูล!J338"")+IMP"&amp;"ORTRANGE(""https://docs.google.com/spreadsheets/d/1vO9Sws6kMtrVtyvrAJptINXjK8TFBoX9xLYOVK_C8bQ/edit?usp=share_link"",""สุราษฎร์ธานี!J338"")"),44355)</f>
        <v>44355</v>
      </c>
      <c r="K338" s="37">
        <f ca="1">IF(I338&gt;0,J338*100/I338,0)</f>
        <v>243.97689768976898</v>
      </c>
      <c r="L338" s="37"/>
      <c r="M338" s="37"/>
      <c r="N338" s="37"/>
      <c r="O338" s="37"/>
      <c r="P338" s="37"/>
    </row>
    <row r="339" spans="1:26" ht="20.25" customHeight="1">
      <c r="A339" s="283"/>
      <c r="B339" s="32"/>
      <c r="C339" s="280"/>
      <c r="D339" s="180" t="s">
        <v>151</v>
      </c>
      <c r="E339" s="170"/>
      <c r="F339" s="32"/>
      <c r="G339" s="34"/>
      <c r="H339" s="276"/>
      <c r="I339" s="36"/>
      <c r="J339" s="269"/>
      <c r="K339" s="37"/>
      <c r="L339" s="37"/>
      <c r="M339" s="37"/>
      <c r="N339" s="37"/>
      <c r="O339" s="37"/>
      <c r="P339" s="37"/>
    </row>
    <row r="340" spans="1:26" ht="20.25" customHeight="1">
      <c r="A340" s="283"/>
      <c r="B340" s="32"/>
      <c r="C340" s="280"/>
      <c r="D340" s="177"/>
      <c r="E340" s="180" t="s">
        <v>152</v>
      </c>
      <c r="F340" s="32"/>
      <c r="G340" s="34"/>
      <c r="H340" s="276" t="s">
        <v>153</v>
      </c>
      <c r="I340" s="36">
        <f ca="1">IFERROR(__xludf.DUMMYFUNCTION("IMPORTRANGE(""https://docs.google.com/spreadsheets/d/1kC41EOXpGBFOW658Fs3oD8beYlym0-zO54WY-2Qnp9I/edit?usp=share_link"",""กระบี่!I340"")
+IMPORTRANGE(""https://docs.google.com/spreadsheets/d/1FbzMZY_f3MDiEuK7RpCQKrilJ_kpX0Wm7QBZ1L7EjIU/edit?usp=share_link"&amp;""",""ชุมพร!I340"")+IMPORTRANGE(""https://docs.google.com/spreadsheets/d/1v5sN-00LrXuhBxw4dkh2GrG_z4l5oAqOdJRBCsUyMaM/edit?usp=share_link"",""ตรัง!I340"")+IMPORTRANGE(""https://docs.google.com/spreadsheets/d/1T5rRTzFc79aSIvqnzkZNvwPstq829QYz_xALlO1Z0s8/edi"&amp;"t?usp=share_link"",""นครศรีธรรมราช!I340"")+IMPORTRANGE(""https://docs.google.com/spreadsheets/d/1BeghqumK0IvCmRd2QOy6_afsZq7ZtAGrSnVJy2u7WmY/edit?usp=share_link"",""นราธิวาส!I340"")+IMPORTRANGE(""https://docs.google.com/spreadsheets/d/1IwnW3-jjRf74MCLW-6P"&amp;"iFwMUffRQXZwZA7YM609NmRc/edit?usp=share_link"",""ปัตตานี!I340"")+IMPORTRANGE(""https://docs.google.com/spreadsheets/d/1vl4QWbWdFruual5o_wdo6ZSqXZ_it806oja4CctTLKs/edit?usp=share_link"",""พังงา!I340"")+IMPORTRANGE(""https://docs.google.com/spreadsheets/d/1"&amp;"b6QssHQp2FoAPSMKHOy273KNzAomaIKhtdlvuZ_zDNE/edit?usp=share_link"",""พัทลุง!I340"")+IMPORTRANGE(""https://docs.google.com/spreadsheets/d/1o7UZe4_OqlqtLDHrj01Z2YFRSZDf1DMy1n3XViHaxRc/edit?usp=share_link"",""ภูเก็ต!I340"")+IMPORTRANGE(""https://docs.google.c"&amp;"om/spreadsheets/d/1ctPm1vUzcUCPuOj9-eoHUD85PqINFqUB0TjdSWmR5-c/edit?usp=share_link"",""ยะลา!I340"")+IMPORTRANGE(""https://docs.google.com/spreadsheets/d/1YiDIE7Klmt8osgdapRqYWNr7iPGFSsiJqq46S7PYRE0/edit?usp=share_link"",""ระนอง!I340"")+IMPORTRANGE(""https"&amp;"://docs.google.com/spreadsheets/d/16o_4B-V7AWw_6E93bSpXj_XxVv1oVQctk-B6z1dNEWU/edit?usp=share_link"",""สงขลา!I340"")+IMPORTRANGE(""https://docs.google.com/spreadsheets/d/16cywr71Fj4fA5OGRHsZh30ZG2gwJhMAQv69oVBzYHv0/edit?usp=share_link"",""สตูล!I340"")+IMP"&amp;"ORTRANGE(""https://docs.google.com/spreadsheets/d/1vO9Sws6kMtrVtyvrAJptINXjK8TFBoX9xLYOVK_C8bQ/edit?usp=share_link"",""สุราษฎร์ธานี!I340"")"),55)</f>
        <v>55</v>
      </c>
      <c r="J340" s="269">
        <f ca="1">IFERROR(__xludf.DUMMYFUNCTION("IMPORTRANGE(""https://docs.google.com/spreadsheets/d/1kC41EOXpGBFOW658Fs3oD8beYlym0-zO54WY-2Qnp9I/edit?usp=share_link"",""กระบี่!J340"")
+IMPORTRANGE(""https://docs.google.com/spreadsheets/d/1FbzMZY_f3MDiEuK7RpCQKrilJ_kpX0Wm7QBZ1L7EjIU/edit?usp=share_link"&amp;""",""ชุมพร!J340"")+IMPORTRANGE(""https://docs.google.com/spreadsheets/d/1v5sN-00LrXuhBxw4dkh2GrG_z4l5oAqOdJRBCsUyMaM/edit?usp=share_link"",""ตรัง!J340"")+IMPORTRANGE(""https://docs.google.com/spreadsheets/d/1T5rRTzFc79aSIvqnzkZNvwPstq829QYz_xALlO1Z0s8/edi"&amp;"t?usp=share_link"",""นครศรีธรรมราช!J340"")+IMPORTRANGE(""https://docs.google.com/spreadsheets/d/1BeghqumK0IvCmRd2QOy6_afsZq7ZtAGrSnVJy2u7WmY/edit?usp=share_link"",""นราธิวาส!J340"")+IMPORTRANGE(""https://docs.google.com/spreadsheets/d/1IwnW3-jjRf74MCLW-6P"&amp;"iFwMUffRQXZwZA7YM609NmRc/edit?usp=share_link"",""ปัตตานี!J340"")+IMPORTRANGE(""https://docs.google.com/spreadsheets/d/1vl4QWbWdFruual5o_wdo6ZSqXZ_it806oja4CctTLKs/edit?usp=share_link"",""พังงา!J340"")+IMPORTRANGE(""https://docs.google.com/spreadsheets/d/1"&amp;"b6QssHQp2FoAPSMKHOy273KNzAomaIKhtdlvuZ_zDNE/edit?usp=share_link"",""พัทลุง!J340"")+IMPORTRANGE(""https://docs.google.com/spreadsheets/d/1o7UZe4_OqlqtLDHrj01Z2YFRSZDf1DMy1n3XViHaxRc/edit?usp=share_link"",""ภูเก็ต!J340"")+IMPORTRANGE(""https://docs.google.c"&amp;"om/spreadsheets/d/1ctPm1vUzcUCPuOj9-eoHUD85PqINFqUB0TjdSWmR5-c/edit?usp=share_link"",""ยะลา!J340"")+IMPORTRANGE(""https://docs.google.com/spreadsheets/d/1YiDIE7Klmt8osgdapRqYWNr7iPGFSsiJqq46S7PYRE0/edit?usp=share_link"",""ระนอง!J340"")+IMPORTRANGE(""https"&amp;"://docs.google.com/spreadsheets/d/16o_4B-V7AWw_6E93bSpXj_XxVv1oVQctk-B6z1dNEWU/edit?usp=share_link"",""สงขลา!J340"")+IMPORTRANGE(""https://docs.google.com/spreadsheets/d/16cywr71Fj4fA5OGRHsZh30ZG2gwJhMAQv69oVBzYHv0/edit?usp=share_link"",""สตูล!J340"")+IMP"&amp;"ORTRANGE(""https://docs.google.com/spreadsheets/d/1vO9Sws6kMtrVtyvrAJptINXjK8TFBoX9xLYOVK_C8bQ/edit?usp=share_link"",""สุราษฎร์ธานี!J340"")"),59)</f>
        <v>59</v>
      </c>
      <c r="K340" s="37">
        <f ca="1">IF(I340&gt;0,J340*100/I340,0)</f>
        <v>107.27272727272727</v>
      </c>
      <c r="L340" s="37"/>
      <c r="M340" s="37"/>
      <c r="N340" s="37"/>
      <c r="O340" s="37"/>
      <c r="P340" s="37"/>
    </row>
    <row r="341" spans="1:26" ht="20.25" customHeight="1">
      <c r="A341" s="283"/>
      <c r="B341" s="32"/>
      <c r="C341" s="280"/>
      <c r="D341" s="177"/>
      <c r="E341" s="180" t="s">
        <v>154</v>
      </c>
      <c r="F341" s="32"/>
      <c r="G341" s="34"/>
      <c r="H341" s="276" t="s">
        <v>35</v>
      </c>
      <c r="I341" s="36"/>
      <c r="J341" s="269">
        <f ca="1">IFERROR(__xludf.DUMMYFUNCTION("IMPORTRANGE(""https://docs.google.com/spreadsheets/d/1kC41EOXpGBFOW658Fs3oD8beYlym0-zO54WY-2Qnp9I/edit?usp=share_link"",""กระบี่!J341"")
+IMPORTRANGE(""https://docs.google.com/spreadsheets/d/1FbzMZY_f3MDiEuK7RpCQKrilJ_kpX0Wm7QBZ1L7EjIU/edit?usp=share_link"&amp;""",""ชุมพร!J341"")+IMPORTRANGE(""https://docs.google.com/spreadsheets/d/1v5sN-00LrXuhBxw4dkh2GrG_z4l5oAqOdJRBCsUyMaM/edit?usp=share_link"",""ตรัง!J341"")+IMPORTRANGE(""https://docs.google.com/spreadsheets/d/1T5rRTzFc79aSIvqnzkZNvwPstq829QYz_xALlO1Z0s8/edi"&amp;"t?usp=share_link"",""นครศรีธรรมราช!J341"")+IMPORTRANGE(""https://docs.google.com/spreadsheets/d/1BeghqumK0IvCmRd2QOy6_afsZq7ZtAGrSnVJy2u7WmY/edit?usp=share_link"",""นราธิวาส!J341"")+IMPORTRANGE(""https://docs.google.com/spreadsheets/d/1IwnW3-jjRf74MCLW-6P"&amp;"iFwMUffRQXZwZA7YM609NmRc/edit?usp=share_link"",""ปัตตานี!J341"")+IMPORTRANGE(""https://docs.google.com/spreadsheets/d/1vl4QWbWdFruual5o_wdo6ZSqXZ_it806oja4CctTLKs/edit?usp=share_link"",""พังงา!J341"")+IMPORTRANGE(""https://docs.google.com/spreadsheets/d/1"&amp;"b6QssHQp2FoAPSMKHOy273KNzAomaIKhtdlvuZ_zDNE/edit?usp=share_link"",""พัทลุง!J341"")+IMPORTRANGE(""https://docs.google.com/spreadsheets/d/1o7UZe4_OqlqtLDHrj01Z2YFRSZDf1DMy1n3XViHaxRc/edit?usp=share_link"",""ภูเก็ต!J341"")+IMPORTRANGE(""https://docs.google.c"&amp;"om/spreadsheets/d/1ctPm1vUzcUCPuOj9-eoHUD85PqINFqUB0TjdSWmR5-c/edit?usp=share_link"",""ยะลา!J341"")+IMPORTRANGE(""https://docs.google.com/spreadsheets/d/1YiDIE7Klmt8osgdapRqYWNr7iPGFSsiJqq46S7PYRE0/edit?usp=share_link"",""ระนอง!J341"")+IMPORTRANGE(""https"&amp;"://docs.google.com/spreadsheets/d/16o_4B-V7AWw_6E93bSpXj_XxVv1oVQctk-B6z1dNEWU/edit?usp=share_link"",""สงขลา!J341"")+IMPORTRANGE(""https://docs.google.com/spreadsheets/d/16cywr71Fj4fA5OGRHsZh30ZG2gwJhMAQv69oVBzYHv0/edit?usp=share_link"",""สตูล!J341"")+IMP"&amp;"ORTRANGE(""https://docs.google.com/spreadsheets/d/1vO9Sws6kMtrVtyvrAJptINXjK8TFBoX9xLYOVK_C8bQ/edit?usp=share_link"",""สุราษฎร์ธานี!J341"")"),1978)</f>
        <v>1978</v>
      </c>
      <c r="K341" s="37"/>
      <c r="L341" s="37"/>
      <c r="M341" s="37"/>
      <c r="N341" s="37"/>
      <c r="O341" s="37"/>
      <c r="P341" s="37"/>
    </row>
    <row r="342" spans="1:26" ht="20.25" customHeight="1">
      <c r="A342" s="283"/>
      <c r="B342" s="32"/>
      <c r="C342" s="280"/>
      <c r="D342" s="180" t="s">
        <v>155</v>
      </c>
      <c r="E342" s="177"/>
      <c r="F342" s="177"/>
      <c r="G342" s="34"/>
      <c r="H342" s="276" t="s">
        <v>35</v>
      </c>
      <c r="I342" s="36"/>
      <c r="J342" s="269">
        <f ca="1">IFERROR(__xludf.DUMMYFUNCTION("IMPORTRANGE(""https://docs.google.com/spreadsheets/d/1kC41EOXpGBFOW658Fs3oD8beYlym0-zO54WY-2Qnp9I/edit?usp=share_link"",""กระบี่!J342"")
+IMPORTRANGE(""https://docs.google.com/spreadsheets/d/1FbzMZY_f3MDiEuK7RpCQKrilJ_kpX0Wm7QBZ1L7EjIU/edit?usp=share_link"&amp;""",""ชุมพร!J342"")+IMPORTRANGE(""https://docs.google.com/spreadsheets/d/1v5sN-00LrXuhBxw4dkh2GrG_z4l5oAqOdJRBCsUyMaM/edit?usp=share_link"",""ตรัง!J342"")+IMPORTRANGE(""https://docs.google.com/spreadsheets/d/1T5rRTzFc79aSIvqnzkZNvwPstq829QYz_xALlO1Z0s8/edi"&amp;"t?usp=share_link"",""นครศรีธรรมราช!J342"")+IMPORTRANGE(""https://docs.google.com/spreadsheets/d/1BeghqumK0IvCmRd2QOy6_afsZq7ZtAGrSnVJy2u7WmY/edit?usp=share_link"",""นราธิวาส!J342"")+IMPORTRANGE(""https://docs.google.com/spreadsheets/d/1IwnW3-jjRf74MCLW-6P"&amp;"iFwMUffRQXZwZA7YM609NmRc/edit?usp=share_link"",""ปัตตานี!J342"")+IMPORTRANGE(""https://docs.google.com/spreadsheets/d/1vl4QWbWdFruual5o_wdo6ZSqXZ_it806oja4CctTLKs/edit?usp=share_link"",""พังงา!J342"")+IMPORTRANGE(""https://docs.google.com/spreadsheets/d/1"&amp;"b6QssHQp2FoAPSMKHOy273KNzAomaIKhtdlvuZ_zDNE/edit?usp=share_link"",""พัทลุง!J342"")+IMPORTRANGE(""https://docs.google.com/spreadsheets/d/1o7UZe4_OqlqtLDHrj01Z2YFRSZDf1DMy1n3XViHaxRc/edit?usp=share_link"",""ภูเก็ต!J342"")+IMPORTRANGE(""https://docs.google.c"&amp;"om/spreadsheets/d/1ctPm1vUzcUCPuOj9-eoHUD85PqINFqUB0TjdSWmR5-c/edit?usp=share_link"",""ยะลา!J342"")+IMPORTRANGE(""https://docs.google.com/spreadsheets/d/1YiDIE7Klmt8osgdapRqYWNr7iPGFSsiJqq46S7PYRE0/edit?usp=share_link"",""ระนอง!J342"")+IMPORTRANGE(""https"&amp;"://docs.google.com/spreadsheets/d/16o_4B-V7AWw_6E93bSpXj_XxVv1oVQctk-B6z1dNEWU/edit?usp=share_link"",""สงขลา!J342"")+IMPORTRANGE(""https://docs.google.com/spreadsheets/d/16cywr71Fj4fA5OGRHsZh30ZG2gwJhMAQv69oVBzYHv0/edit?usp=share_link"",""สตูล!J342"")+IMP"&amp;"ORTRANGE(""https://docs.google.com/spreadsheets/d/1vO9Sws6kMtrVtyvrAJptINXjK8TFBoX9xLYOVK_C8bQ/edit?usp=share_link"",""สุราษฎร์ธานี!J342"")"),140)</f>
        <v>140</v>
      </c>
      <c r="K342" s="37"/>
      <c r="L342" s="37"/>
      <c r="M342" s="37"/>
      <c r="N342" s="37"/>
      <c r="O342" s="37"/>
      <c r="P342" s="37"/>
    </row>
    <row r="343" spans="1:26" ht="20.25" customHeight="1">
      <c r="A343" s="283"/>
      <c r="B343" s="32"/>
      <c r="C343" s="280"/>
      <c r="D343" s="180" t="s">
        <v>156</v>
      </c>
      <c r="E343" s="177"/>
      <c r="F343" s="177"/>
      <c r="G343" s="34"/>
      <c r="H343" s="276" t="s">
        <v>35</v>
      </c>
      <c r="I343" s="36"/>
      <c r="J343" s="269">
        <f ca="1">IFERROR(__xludf.DUMMYFUNCTION("IMPORTRANGE(""https://docs.google.com/spreadsheets/d/1kC41EOXpGBFOW658Fs3oD8beYlym0-zO54WY-2Qnp9I/edit?usp=share_link"",""กระบี่!J343"")
+IMPORTRANGE(""https://docs.google.com/spreadsheets/d/1FbzMZY_f3MDiEuK7RpCQKrilJ_kpX0Wm7QBZ1L7EjIU/edit?usp=share_link"&amp;""",""ชุมพร!J343"")+IMPORTRANGE(""https://docs.google.com/spreadsheets/d/1v5sN-00LrXuhBxw4dkh2GrG_z4l5oAqOdJRBCsUyMaM/edit?usp=share_link"",""ตรัง!J343"")+IMPORTRANGE(""https://docs.google.com/spreadsheets/d/1T5rRTzFc79aSIvqnzkZNvwPstq829QYz_xALlO1Z0s8/edi"&amp;"t?usp=share_link"",""นครศรีธรรมราช!J343"")+IMPORTRANGE(""https://docs.google.com/spreadsheets/d/1BeghqumK0IvCmRd2QOy6_afsZq7ZtAGrSnVJy2u7WmY/edit?usp=share_link"",""นราธิวาส!J343"")+IMPORTRANGE(""https://docs.google.com/spreadsheets/d/1IwnW3-jjRf74MCLW-6P"&amp;"iFwMUffRQXZwZA7YM609NmRc/edit?usp=share_link"",""ปัตตานี!J343"")+IMPORTRANGE(""https://docs.google.com/spreadsheets/d/1vl4QWbWdFruual5o_wdo6ZSqXZ_it806oja4CctTLKs/edit?usp=share_link"",""พังงา!J343"")+IMPORTRANGE(""https://docs.google.com/spreadsheets/d/1"&amp;"b6QssHQp2FoAPSMKHOy273KNzAomaIKhtdlvuZ_zDNE/edit?usp=share_link"",""พัทลุง!J343"")+IMPORTRANGE(""https://docs.google.com/spreadsheets/d/1o7UZe4_OqlqtLDHrj01Z2YFRSZDf1DMy1n3XViHaxRc/edit?usp=share_link"",""ภูเก็ต!J343"")+IMPORTRANGE(""https://docs.google.c"&amp;"om/spreadsheets/d/1ctPm1vUzcUCPuOj9-eoHUD85PqINFqUB0TjdSWmR5-c/edit?usp=share_link"",""ยะลา!J343"")+IMPORTRANGE(""https://docs.google.com/spreadsheets/d/1YiDIE7Klmt8osgdapRqYWNr7iPGFSsiJqq46S7PYRE0/edit?usp=share_link"",""ระนอง!J343"")+IMPORTRANGE(""https"&amp;"://docs.google.com/spreadsheets/d/16o_4B-V7AWw_6E93bSpXj_XxVv1oVQctk-B6z1dNEWU/edit?usp=share_link"",""สงขลา!J343"")+IMPORTRANGE(""https://docs.google.com/spreadsheets/d/16cywr71Fj4fA5OGRHsZh30ZG2gwJhMAQv69oVBzYHv0/edit?usp=share_link"",""สตูล!J343"")+IMP"&amp;"ORTRANGE(""https://docs.google.com/spreadsheets/d/1vO9Sws6kMtrVtyvrAJptINXjK8TFBoX9xLYOVK_C8bQ/edit?usp=share_link"",""สุราษฎร์ธานี!J343"")"),56)</f>
        <v>56</v>
      </c>
      <c r="K343" s="37"/>
      <c r="L343" s="37"/>
      <c r="M343" s="37"/>
      <c r="N343" s="37"/>
      <c r="O343" s="37"/>
      <c r="P343" s="37"/>
    </row>
    <row r="344" spans="1:26" ht="20.25" customHeight="1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20.25" customHeight="1">
      <c r="A345" s="146"/>
      <c r="B345" s="147"/>
      <c r="C345" s="148" t="s">
        <v>16</v>
      </c>
      <c r="D345" s="149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81">L346+L347</f>
        <v>10140670</v>
      </c>
      <c r="M345" s="154">
        <f t="shared" ca="1" si="181"/>
        <v>11587900</v>
      </c>
      <c r="N345" s="154">
        <f t="shared" ca="1" si="181"/>
        <v>11587899.279999999</v>
      </c>
      <c r="O345" s="154">
        <f t="shared" ref="O345:O353" ca="1" si="182">IF(L345&gt;0,N345*100/L345,0)</f>
        <v>114.27153511552984</v>
      </c>
      <c r="P345" s="154">
        <f t="shared" ref="P345:P353" ca="1" si="183">IF(M345&gt;0,N345*100/M345,0)</f>
        <v>99.999993786622255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20.25" hidden="1" customHeight="1">
      <c r="A346" s="155"/>
      <c r="B346" s="39"/>
      <c r="C346" s="39"/>
      <c r="D346" s="39"/>
      <c r="E346" s="40" t="s">
        <v>18</v>
      </c>
      <c r="F346" s="39"/>
      <c r="G346" s="156"/>
      <c r="H346" s="157" t="s">
        <v>12</v>
      </c>
      <c r="I346" s="43"/>
      <c r="J346" s="43"/>
      <c r="K346" s="44"/>
      <c r="L346" s="44">
        <f t="shared" ref="L346:N346" si="184">L349+L352</f>
        <v>0</v>
      </c>
      <c r="M346" s="44">
        <f t="shared" si="184"/>
        <v>0</v>
      </c>
      <c r="N346" s="44">
        <f t="shared" si="184"/>
        <v>0</v>
      </c>
      <c r="O346" s="44">
        <f t="shared" si="182"/>
        <v>0</v>
      </c>
      <c r="P346" s="44">
        <f t="shared" si="183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0.25" hidden="1" customHeight="1">
      <c r="A347" s="155"/>
      <c r="B347" s="39"/>
      <c r="C347" s="39"/>
      <c r="D347" s="39"/>
      <c r="E347" s="40" t="s">
        <v>19</v>
      </c>
      <c r="F347" s="39"/>
      <c r="G347" s="156"/>
      <c r="H347" s="157" t="s">
        <v>12</v>
      </c>
      <c r="I347" s="43"/>
      <c r="J347" s="43"/>
      <c r="K347" s="44"/>
      <c r="L347" s="44">
        <f t="shared" ref="L347:N347" ca="1" si="185">L350+L353</f>
        <v>10140670</v>
      </c>
      <c r="M347" s="44">
        <f t="shared" ca="1" si="185"/>
        <v>11587900</v>
      </c>
      <c r="N347" s="44">
        <f t="shared" ca="1" si="185"/>
        <v>11587899.279999999</v>
      </c>
      <c r="O347" s="44">
        <f t="shared" ca="1" si="182"/>
        <v>114.27153511552984</v>
      </c>
      <c r="P347" s="44">
        <f t="shared" ca="1" si="183"/>
        <v>99.999993786622255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0.25" customHeight="1">
      <c r="A348" s="158"/>
      <c r="B348" s="32"/>
      <c r="C348" s="159"/>
      <c r="D348" s="33" t="s">
        <v>20</v>
      </c>
      <c r="E348" s="32"/>
      <c r="F348" s="32"/>
      <c r="G348" s="34"/>
      <c r="H348" s="160" t="s">
        <v>12</v>
      </c>
      <c r="I348" s="161"/>
      <c r="J348" s="161"/>
      <c r="K348" s="162"/>
      <c r="L348" s="37">
        <f t="shared" ref="L348:N348" ca="1" si="186">L349+L350</f>
        <v>8808470</v>
      </c>
      <c r="M348" s="37">
        <f t="shared" ca="1" si="186"/>
        <v>10240690</v>
      </c>
      <c r="N348" s="37">
        <f t="shared" ca="1" si="186"/>
        <v>10240689.279999999</v>
      </c>
      <c r="O348" s="37">
        <f t="shared" ca="1" si="182"/>
        <v>116.25956925550067</v>
      </c>
      <c r="P348" s="37">
        <f t="shared" ca="1" si="183"/>
        <v>99.99999296922374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20.25" hidden="1" customHeight="1">
      <c r="A349" s="155"/>
      <c r="B349" s="39"/>
      <c r="C349" s="163"/>
      <c r="D349" s="39"/>
      <c r="E349" s="40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44">
        <f t="shared" si="182"/>
        <v>0</v>
      </c>
      <c r="P349" s="44">
        <f t="shared" si="183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0.25" hidden="1" customHeight="1">
      <c r="A350" s="155"/>
      <c r="B350" s="39"/>
      <c r="C350" s="163"/>
      <c r="D350" s="39"/>
      <c r="E350" s="40" t="s">
        <v>37</v>
      </c>
      <c r="F350" s="39"/>
      <c r="G350" s="156"/>
      <c r="H350" s="164" t="s">
        <v>12</v>
      </c>
      <c r="I350" s="165"/>
      <c r="J350" s="165"/>
      <c r="K350" s="166"/>
      <c r="L350" s="44">
        <f ca="1">IFERROR(__xludf.DUMMYFUNCTION("IMPORTRANGE(""https://docs.google.com/spreadsheets/d/1kC41EOXpGBFOW658Fs3oD8beYlym0-zO54WY-2Qnp9I/edit?usp=share_link"",""กระบี่!L350"")
+IMPORTRANGE(""https://docs.google.com/spreadsheets/d/1FbzMZY_f3MDiEuK7RpCQKrilJ_kpX0Wm7QBZ1L7EjIU/edit?usp=share_link"&amp;""",""ชุมพร!L350"")+IMPORTRANGE(""https://docs.google.com/spreadsheets/d/1v5sN-00LrXuhBxw4dkh2GrG_z4l5oAqOdJRBCsUyMaM/edit?usp=share_link"",""ตรัง!L350"")+IMPORTRANGE(""https://docs.google.com/spreadsheets/d/1T5rRTzFc79aSIvqnzkZNvwPstq829QYz_xALlO1Z0s8/edi"&amp;"t?usp=share_link"",""นครศรีธรรมราช!L350"")+IMPORTRANGE(""https://docs.google.com/spreadsheets/d/1BeghqumK0IvCmRd2QOy6_afsZq7ZtAGrSnVJy2u7WmY/edit?usp=share_link"",""นราธิวาส!L350"")+IMPORTRANGE(""https://docs.google.com/spreadsheets/d/1IwnW3-jjRf74MCLW-6P"&amp;"iFwMUffRQXZwZA7YM609NmRc/edit?usp=share_link"",""ปัตตานี!L350"")+IMPORTRANGE(""https://docs.google.com/spreadsheets/d/1vl4QWbWdFruual5o_wdo6ZSqXZ_it806oja4CctTLKs/edit?usp=share_link"",""พังงา!L350"")+IMPORTRANGE(""https://docs.google.com/spreadsheets/d/1"&amp;"b6QssHQp2FoAPSMKHOy273KNzAomaIKhtdlvuZ_zDNE/edit?usp=share_link"",""พัทลุง!L350"")+IMPORTRANGE(""https://docs.google.com/spreadsheets/d/1o7UZe4_OqlqtLDHrj01Z2YFRSZDf1DMy1n3XViHaxRc/edit?usp=share_link"",""ภูเก็ต!L350"")+IMPORTRANGE(""https://docs.google.c"&amp;"om/spreadsheets/d/1ctPm1vUzcUCPuOj9-eoHUD85PqINFqUB0TjdSWmR5-c/edit?usp=share_link"",""ยะลา!L350"")+IMPORTRANGE(""https://docs.google.com/spreadsheets/d/1YiDIE7Klmt8osgdapRqYWNr7iPGFSsiJqq46S7PYRE0/edit?usp=share_link"",""ระนอง!L350"")+IMPORTRANGE(""https"&amp;"://docs.google.com/spreadsheets/d/16o_4B-V7AWw_6E93bSpXj_XxVv1oVQctk-B6z1dNEWU/edit?usp=share_link"",""สงขลา!L350"")+IMPORTRANGE(""https://docs.google.com/spreadsheets/d/16cywr71Fj4fA5OGRHsZh30ZG2gwJhMAQv69oVBzYHv0/edit?usp=share_link"",""สตูล!L350"")+IMP"&amp;"ORTRANGE(""https://docs.google.com/spreadsheets/d/1vO9Sws6kMtrVtyvrAJptINXjK8TFBoX9xLYOVK_C8bQ/edit?usp=share_link"",""สุราษฎร์ธานี!L350"")"),8808470)</f>
        <v>8808470</v>
      </c>
      <c r="M350" s="44">
        <f ca="1">IFERROR(__xludf.DUMMYFUNCTION("IMPORTRANGE(""https://docs.google.com/spreadsheets/d/1kC41EOXpGBFOW658Fs3oD8beYlym0-zO54WY-2Qnp9I/edit?usp=share_link"",""กระบี่!M350"")
+IMPORTRANGE(""https://docs.google.com/spreadsheets/d/1FbzMZY_f3MDiEuK7RpCQKrilJ_kpX0Wm7QBZ1L7EjIU/edit?usp=share_link"&amp;""",""ชุมพร!M350"")+IMPORTRANGE(""https://docs.google.com/spreadsheets/d/1v5sN-00LrXuhBxw4dkh2GrG_z4l5oAqOdJRBCsUyMaM/edit?usp=share_link"",""ตรัง!M350"")+IMPORTRANGE(""https://docs.google.com/spreadsheets/d/1T5rRTzFc79aSIvqnzkZNvwPstq829QYz_xALlO1Z0s8/edi"&amp;"t?usp=share_link"",""นครศรีธรรมราช!M350"")+IMPORTRANGE(""https://docs.google.com/spreadsheets/d/1BeghqumK0IvCmRd2QOy6_afsZq7ZtAGrSnVJy2u7WmY/edit?usp=share_link"",""นราธิวาส!M350"")+IMPORTRANGE(""https://docs.google.com/spreadsheets/d/1IwnW3-jjRf74MCLW-6P"&amp;"iFwMUffRQXZwZA7YM609NmRc/edit?usp=share_link"",""ปัตตานี!M350"")+IMPORTRANGE(""https://docs.google.com/spreadsheets/d/1vl4QWbWdFruual5o_wdo6ZSqXZ_it806oja4CctTLKs/edit?usp=share_link"",""พังงา!M350"")+IMPORTRANGE(""https://docs.google.com/spreadsheets/d/1"&amp;"b6QssHQp2FoAPSMKHOy273KNzAomaIKhtdlvuZ_zDNE/edit?usp=share_link"",""พัทลุง!M350"")+IMPORTRANGE(""https://docs.google.com/spreadsheets/d/1o7UZe4_OqlqtLDHrj01Z2YFRSZDf1DMy1n3XViHaxRc/edit?usp=share_link"",""ภูเก็ต!M350"")+IMPORTRANGE(""https://docs.google.c"&amp;"om/spreadsheets/d/1ctPm1vUzcUCPuOj9-eoHUD85PqINFqUB0TjdSWmR5-c/edit?usp=share_link"",""ยะลา!M350"")+IMPORTRANGE(""https://docs.google.com/spreadsheets/d/1YiDIE7Klmt8osgdapRqYWNr7iPGFSsiJqq46S7PYRE0/edit?usp=share_link"",""ระนอง!M350"")+IMPORTRANGE(""https"&amp;"://docs.google.com/spreadsheets/d/16o_4B-V7AWw_6E93bSpXj_XxVv1oVQctk-B6z1dNEWU/edit?usp=share_link"",""สงขลา!M350"")+IMPORTRANGE(""https://docs.google.com/spreadsheets/d/16cywr71Fj4fA5OGRHsZh30ZG2gwJhMAQv69oVBzYHv0/edit?usp=share_link"",""สตูล!M350"")+IMP"&amp;"ORTRANGE(""https://docs.google.com/spreadsheets/d/1vO9Sws6kMtrVtyvrAJptINXjK8TFBoX9xLYOVK_C8bQ/edit?usp=share_link"",""สุราษฎร์ธานี!M350"")"),10240690)</f>
        <v>10240690</v>
      </c>
      <c r="N350" s="44">
        <f ca="1">IFERROR(__xludf.DUMMYFUNCTION("IMPORTRANGE(""https://docs.google.com/spreadsheets/d/1kC41EOXpGBFOW658Fs3oD8beYlym0-zO54WY-2Qnp9I/edit?usp=share_link"",""กระบี่!N350"")
+IMPORTRANGE(""https://docs.google.com/spreadsheets/d/1FbzMZY_f3MDiEuK7RpCQKrilJ_kpX0Wm7QBZ1L7EjIU/edit?usp=share_link"&amp;""",""ชุมพร!N350"")+IMPORTRANGE(""https://docs.google.com/spreadsheets/d/1v5sN-00LrXuhBxw4dkh2GrG_z4l5oAqOdJRBCsUyMaM/edit?usp=share_link"",""ตรัง!N350"")+IMPORTRANGE(""https://docs.google.com/spreadsheets/d/1T5rRTzFc79aSIvqnzkZNvwPstq829QYz_xALlO1Z0s8/edi"&amp;"t?usp=share_link"",""นครศรีธรรมราช!N350"")+IMPORTRANGE(""https://docs.google.com/spreadsheets/d/1BeghqumK0IvCmRd2QOy6_afsZq7ZtAGrSnVJy2u7WmY/edit?usp=share_link"",""นราธิวาส!N350"")+IMPORTRANGE(""https://docs.google.com/spreadsheets/d/1IwnW3-jjRf74MCLW-6P"&amp;"iFwMUffRQXZwZA7YM609NmRc/edit?usp=share_link"",""ปัตตานี!N350"")+IMPORTRANGE(""https://docs.google.com/spreadsheets/d/1vl4QWbWdFruual5o_wdo6ZSqXZ_it806oja4CctTLKs/edit?usp=share_link"",""พังงา!N350"")+IMPORTRANGE(""https://docs.google.com/spreadsheets/d/1"&amp;"b6QssHQp2FoAPSMKHOy273KNzAomaIKhtdlvuZ_zDNE/edit?usp=share_link"",""พัทลุง!N350"")+IMPORTRANGE(""https://docs.google.com/spreadsheets/d/1o7UZe4_OqlqtLDHrj01Z2YFRSZDf1DMy1n3XViHaxRc/edit?usp=share_link"",""ภูเก็ต!N350"")+IMPORTRANGE(""https://docs.google.c"&amp;"om/spreadsheets/d/1ctPm1vUzcUCPuOj9-eoHUD85PqINFqUB0TjdSWmR5-c/edit?usp=share_link"",""ยะลา!N350"")+IMPORTRANGE(""https://docs.google.com/spreadsheets/d/1YiDIE7Klmt8osgdapRqYWNr7iPGFSsiJqq46S7PYRE0/edit?usp=share_link"",""ระนอง!N350"")+IMPORTRANGE(""https"&amp;"://docs.google.com/spreadsheets/d/16o_4B-V7AWw_6E93bSpXj_XxVv1oVQctk-B6z1dNEWU/edit?usp=share_link"",""สงขลา!N350"")+IMPORTRANGE(""https://docs.google.com/spreadsheets/d/16cywr71Fj4fA5OGRHsZh30ZG2gwJhMAQv69oVBzYHv0/edit?usp=share_link"",""สตูล!N350"")+IMP"&amp;"ORTRANGE(""https://docs.google.com/spreadsheets/d/1vO9Sws6kMtrVtyvrAJptINXjK8TFBoX9xLYOVK_C8bQ/edit?usp=share_link"",""สุราษฎร์ธานี!N350"")"),10240689.28)</f>
        <v>10240689.279999999</v>
      </c>
      <c r="O350" s="44">
        <f t="shared" ca="1" si="182"/>
        <v>116.25956925550067</v>
      </c>
      <c r="P350" s="44">
        <f t="shared" ca="1" si="183"/>
        <v>99.99999296922374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0.25" customHeight="1">
      <c r="A351" s="158"/>
      <c r="B351" s="32"/>
      <c r="C351" s="159"/>
      <c r="D351" s="33" t="s">
        <v>21</v>
      </c>
      <c r="E351" s="32"/>
      <c r="F351" s="32"/>
      <c r="G351" s="34"/>
      <c r="H351" s="167" t="s">
        <v>12</v>
      </c>
      <c r="I351" s="161"/>
      <c r="J351" s="161"/>
      <c r="K351" s="162"/>
      <c r="L351" s="37">
        <f t="shared" ref="L351:N351" ca="1" si="187">L352+L353</f>
        <v>1332200</v>
      </c>
      <c r="M351" s="37">
        <f t="shared" ca="1" si="187"/>
        <v>1347210</v>
      </c>
      <c r="N351" s="37">
        <f t="shared" ca="1" si="187"/>
        <v>1347210</v>
      </c>
      <c r="O351" s="37">
        <f t="shared" ca="1" si="182"/>
        <v>101.12670770154631</v>
      </c>
      <c r="P351" s="37">
        <f t="shared" ca="1" si="183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20.25" hidden="1" customHeight="1">
      <c r="A352" s="155"/>
      <c r="B352" s="39"/>
      <c r="C352" s="163"/>
      <c r="D352" s="39"/>
      <c r="E352" s="40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44">
        <f t="shared" si="182"/>
        <v>0</v>
      </c>
      <c r="P352" s="44">
        <f t="shared" si="183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0.25" hidden="1" customHeight="1">
      <c r="A353" s="155"/>
      <c r="B353" s="39"/>
      <c r="C353" s="163"/>
      <c r="D353" s="39"/>
      <c r="E353" s="40" t="s">
        <v>19</v>
      </c>
      <c r="F353" s="39"/>
      <c r="G353" s="156"/>
      <c r="H353" s="168" t="s">
        <v>12</v>
      </c>
      <c r="I353" s="165"/>
      <c r="J353" s="165"/>
      <c r="K353" s="166"/>
      <c r="L353" s="44">
        <f ca="1">IFERROR(__xludf.DUMMYFUNCTION("IMPORTRANGE(""https://docs.google.com/spreadsheets/d/1kC41EOXpGBFOW658Fs3oD8beYlym0-zO54WY-2Qnp9I/edit?usp=share_link"",""กระบี่!L353"")
+IMPORTRANGE(""https://docs.google.com/spreadsheets/d/1FbzMZY_f3MDiEuK7RpCQKrilJ_kpX0Wm7QBZ1L7EjIU/edit?usp=share_link"&amp;""",""ชุมพร!L353"")+IMPORTRANGE(""https://docs.google.com/spreadsheets/d/1v5sN-00LrXuhBxw4dkh2GrG_z4l5oAqOdJRBCsUyMaM/edit?usp=share_link"",""ตรัง!L353"")+IMPORTRANGE(""https://docs.google.com/spreadsheets/d/1T5rRTzFc79aSIvqnzkZNvwPstq829QYz_xALlO1Z0s8/edi"&amp;"t?usp=share_link"",""นครศรีธรรมราช!L353"")+IMPORTRANGE(""https://docs.google.com/spreadsheets/d/1BeghqumK0IvCmRd2QOy6_afsZq7ZtAGrSnVJy2u7WmY/edit?usp=share_link"",""นราธิวาส!L353"")+IMPORTRANGE(""https://docs.google.com/spreadsheets/d/1IwnW3-jjRf74MCLW-6P"&amp;"iFwMUffRQXZwZA7YM609NmRc/edit?usp=share_link"",""ปัตตานี!L353"")+IMPORTRANGE(""https://docs.google.com/spreadsheets/d/1vl4QWbWdFruual5o_wdo6ZSqXZ_it806oja4CctTLKs/edit?usp=share_link"",""พังงา!L353"")+IMPORTRANGE(""https://docs.google.com/spreadsheets/d/1"&amp;"b6QssHQp2FoAPSMKHOy273KNzAomaIKhtdlvuZ_zDNE/edit?usp=share_link"",""พัทลุง!L353"")+IMPORTRANGE(""https://docs.google.com/spreadsheets/d/1o7UZe4_OqlqtLDHrj01Z2YFRSZDf1DMy1n3XViHaxRc/edit?usp=share_link"",""ภูเก็ต!L353"")+IMPORTRANGE(""https://docs.google.c"&amp;"om/spreadsheets/d/1ctPm1vUzcUCPuOj9-eoHUD85PqINFqUB0TjdSWmR5-c/edit?usp=share_link"",""ยะลา!L353"")+IMPORTRANGE(""https://docs.google.com/spreadsheets/d/1YiDIE7Klmt8osgdapRqYWNr7iPGFSsiJqq46S7PYRE0/edit?usp=share_link"",""ระนอง!L353"")+IMPORTRANGE(""https"&amp;"://docs.google.com/spreadsheets/d/16o_4B-V7AWw_6E93bSpXj_XxVv1oVQctk-B6z1dNEWU/edit?usp=share_link"",""สงขลา!L353"")+IMPORTRANGE(""https://docs.google.com/spreadsheets/d/16cywr71Fj4fA5OGRHsZh30ZG2gwJhMAQv69oVBzYHv0/edit?usp=share_link"",""สตูล!L353"")+IMP"&amp;"ORTRANGE(""https://docs.google.com/spreadsheets/d/1vO9Sws6kMtrVtyvrAJptINXjK8TFBoX9xLYOVK_C8bQ/edit?usp=share_link"",""สุราษฎร์ธานี!L353"")"),1332200)</f>
        <v>1332200</v>
      </c>
      <c r="M353" s="44">
        <f ca="1">IFERROR(__xludf.DUMMYFUNCTION("IMPORTRANGE(""https://docs.google.com/spreadsheets/d/1kC41EOXpGBFOW658Fs3oD8beYlym0-zO54WY-2Qnp9I/edit?usp=share_link"",""กระบี่!M353"")
+IMPORTRANGE(""https://docs.google.com/spreadsheets/d/1FbzMZY_f3MDiEuK7RpCQKrilJ_kpX0Wm7QBZ1L7EjIU/edit?usp=share_link"&amp;""",""ชุมพร!M353"")+IMPORTRANGE(""https://docs.google.com/spreadsheets/d/1v5sN-00LrXuhBxw4dkh2GrG_z4l5oAqOdJRBCsUyMaM/edit?usp=share_link"",""ตรัง!M353"")+IMPORTRANGE(""https://docs.google.com/spreadsheets/d/1T5rRTzFc79aSIvqnzkZNvwPstq829QYz_xALlO1Z0s8/edi"&amp;"t?usp=share_link"",""นครศรีธรรมราช!M353"")+IMPORTRANGE(""https://docs.google.com/spreadsheets/d/1BeghqumK0IvCmRd2QOy6_afsZq7ZtAGrSnVJy2u7WmY/edit?usp=share_link"",""นราธิวาส!M353"")+IMPORTRANGE(""https://docs.google.com/spreadsheets/d/1IwnW3-jjRf74MCLW-6P"&amp;"iFwMUffRQXZwZA7YM609NmRc/edit?usp=share_link"",""ปัตตานี!M353"")+IMPORTRANGE(""https://docs.google.com/spreadsheets/d/1vl4QWbWdFruual5o_wdo6ZSqXZ_it806oja4CctTLKs/edit?usp=share_link"",""พังงา!M353"")+IMPORTRANGE(""https://docs.google.com/spreadsheets/d/1"&amp;"b6QssHQp2FoAPSMKHOy273KNzAomaIKhtdlvuZ_zDNE/edit?usp=share_link"",""พัทลุง!M353"")+IMPORTRANGE(""https://docs.google.com/spreadsheets/d/1o7UZe4_OqlqtLDHrj01Z2YFRSZDf1DMy1n3XViHaxRc/edit?usp=share_link"",""ภูเก็ต!M353"")+IMPORTRANGE(""https://docs.google.c"&amp;"om/spreadsheets/d/1ctPm1vUzcUCPuOj9-eoHUD85PqINFqUB0TjdSWmR5-c/edit?usp=share_link"",""ยะลา!M353"")+IMPORTRANGE(""https://docs.google.com/spreadsheets/d/1YiDIE7Klmt8osgdapRqYWNr7iPGFSsiJqq46S7PYRE0/edit?usp=share_link"",""ระนอง!M353"")+IMPORTRANGE(""https"&amp;"://docs.google.com/spreadsheets/d/16o_4B-V7AWw_6E93bSpXj_XxVv1oVQctk-B6z1dNEWU/edit?usp=share_link"",""สงขลา!M353"")+IMPORTRANGE(""https://docs.google.com/spreadsheets/d/16cywr71Fj4fA5OGRHsZh30ZG2gwJhMAQv69oVBzYHv0/edit?usp=share_link"",""สตูล!M353"")+IMP"&amp;"ORTRANGE(""https://docs.google.com/spreadsheets/d/1vO9Sws6kMtrVtyvrAJptINXjK8TFBoX9xLYOVK_C8bQ/edit?usp=share_link"",""สุราษฎร์ธานี!M353"")"),1347210)</f>
        <v>1347210</v>
      </c>
      <c r="N353" s="44">
        <f ca="1">IFERROR(__xludf.DUMMYFUNCTION("IMPORTRANGE(""https://docs.google.com/spreadsheets/d/1kC41EOXpGBFOW658Fs3oD8beYlym0-zO54WY-2Qnp9I/edit?usp=share_link"",""กระบี่!N353"")
+IMPORTRANGE(""https://docs.google.com/spreadsheets/d/1FbzMZY_f3MDiEuK7RpCQKrilJ_kpX0Wm7QBZ1L7EjIU/edit?usp=share_link"&amp;""",""ชุมพร!N353"")+IMPORTRANGE(""https://docs.google.com/spreadsheets/d/1v5sN-00LrXuhBxw4dkh2GrG_z4l5oAqOdJRBCsUyMaM/edit?usp=share_link"",""ตรัง!N353"")+IMPORTRANGE(""https://docs.google.com/spreadsheets/d/1T5rRTzFc79aSIvqnzkZNvwPstq829QYz_xALlO1Z0s8/edi"&amp;"t?usp=share_link"",""นครศรีธรรมราช!N353"")+IMPORTRANGE(""https://docs.google.com/spreadsheets/d/1BeghqumK0IvCmRd2QOy6_afsZq7ZtAGrSnVJy2u7WmY/edit?usp=share_link"",""นราธิวาส!N353"")+IMPORTRANGE(""https://docs.google.com/spreadsheets/d/1IwnW3-jjRf74MCLW-6P"&amp;"iFwMUffRQXZwZA7YM609NmRc/edit?usp=share_link"",""ปัตตานี!N353"")+IMPORTRANGE(""https://docs.google.com/spreadsheets/d/1vl4QWbWdFruual5o_wdo6ZSqXZ_it806oja4CctTLKs/edit?usp=share_link"",""พังงา!N353"")+IMPORTRANGE(""https://docs.google.com/spreadsheets/d/1"&amp;"b6QssHQp2FoAPSMKHOy273KNzAomaIKhtdlvuZ_zDNE/edit?usp=share_link"",""พัทลุง!N353"")+IMPORTRANGE(""https://docs.google.com/spreadsheets/d/1o7UZe4_OqlqtLDHrj01Z2YFRSZDf1DMy1n3XViHaxRc/edit?usp=share_link"",""ภูเก็ต!N353"")+IMPORTRANGE(""https://docs.google.c"&amp;"om/spreadsheets/d/1ctPm1vUzcUCPuOj9-eoHUD85PqINFqUB0TjdSWmR5-c/edit?usp=share_link"",""ยะลา!N353"")+IMPORTRANGE(""https://docs.google.com/spreadsheets/d/1YiDIE7Klmt8osgdapRqYWNr7iPGFSsiJqq46S7PYRE0/edit?usp=share_link"",""ระนอง!N353"")+IMPORTRANGE(""https"&amp;"://docs.google.com/spreadsheets/d/16o_4B-V7AWw_6E93bSpXj_XxVv1oVQctk-B6z1dNEWU/edit?usp=share_link"",""สงขลา!N353"")+IMPORTRANGE(""https://docs.google.com/spreadsheets/d/16cywr71Fj4fA5OGRHsZh30ZG2gwJhMAQv69oVBzYHv0/edit?usp=share_link"",""สตูล!N353"")+IMP"&amp;"ORTRANGE(""https://docs.google.com/spreadsheets/d/1vO9Sws6kMtrVtyvrAJptINXjK8TFBoX9xLYOVK_C8bQ/edit?usp=share_link"",""สุราษฎร์ธานี!N353"")"),1347210)</f>
        <v>1347210</v>
      </c>
      <c r="O353" s="44">
        <f t="shared" ca="1" si="182"/>
        <v>101.12670770154631</v>
      </c>
      <c r="P353" s="44">
        <f t="shared" ca="1" si="183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0.25" customHeight="1">
      <c r="A354" s="255"/>
      <c r="B354" s="263"/>
      <c r="C354" s="256"/>
      <c r="D354" s="454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20.25" customHeight="1">
      <c r="A355" s="456"/>
      <c r="B355" s="457"/>
      <c r="C355" s="458"/>
      <c r="D355" s="459" t="s">
        <v>159</v>
      </c>
      <c r="E355" s="460"/>
      <c r="F355" s="460"/>
      <c r="G355" s="461"/>
      <c r="H355" s="462" t="s">
        <v>35</v>
      </c>
      <c r="I355" s="463">
        <f ca="1">IFERROR(__xludf.DUMMYFUNCTION("IMPORTRANGE(""https://docs.google.com/spreadsheets/d/1kC41EOXpGBFOW658Fs3oD8beYlym0-zO54WY-2Qnp9I/edit?usp=share_link"",""กระบี่!I355"")
+IMPORTRANGE(""https://docs.google.com/spreadsheets/d/1FbzMZY_f3MDiEuK7RpCQKrilJ_kpX0Wm7QBZ1L7EjIU/edit?usp=share_link"&amp;""",""ชุมพร!I355"")+IMPORTRANGE(""https://docs.google.com/spreadsheets/d/1v5sN-00LrXuhBxw4dkh2GrG_z4l5oAqOdJRBCsUyMaM/edit?usp=share_link"",""ตรัง!I355"")+IMPORTRANGE(""https://docs.google.com/spreadsheets/d/1T5rRTzFc79aSIvqnzkZNvwPstq829QYz_xALlO1Z0s8/edi"&amp;"t?usp=share_link"",""นครศรีธรรมราช!I355"")+IMPORTRANGE(""https://docs.google.com/spreadsheets/d/1BeghqumK0IvCmRd2QOy6_afsZq7ZtAGrSnVJy2u7WmY/edit?usp=share_link"",""นราธิวาส!I355"")+IMPORTRANGE(""https://docs.google.com/spreadsheets/d/1IwnW3-jjRf74MCLW-6P"&amp;"iFwMUffRQXZwZA7YM609NmRc/edit?usp=share_link"",""ปัตตานี!I355"")+IMPORTRANGE(""https://docs.google.com/spreadsheets/d/1vl4QWbWdFruual5o_wdo6ZSqXZ_it806oja4CctTLKs/edit?usp=share_link"",""พังงา!I355"")+IMPORTRANGE(""https://docs.google.com/spreadsheets/d/1"&amp;"b6QssHQp2FoAPSMKHOy273KNzAomaIKhtdlvuZ_zDNE/edit?usp=share_link"",""พัทลุง!I355"")+IMPORTRANGE(""https://docs.google.com/spreadsheets/d/1o7UZe4_OqlqtLDHrj01Z2YFRSZDf1DMy1n3XViHaxRc/edit?usp=share_link"",""ภูเก็ต!I355"")+IMPORTRANGE(""https://docs.google.c"&amp;"om/spreadsheets/d/1ctPm1vUzcUCPuOj9-eoHUD85PqINFqUB0TjdSWmR5-c/edit?usp=share_link"",""ยะลา!I355"")+IMPORTRANGE(""https://docs.google.com/spreadsheets/d/1YiDIE7Klmt8osgdapRqYWNr7iPGFSsiJqq46S7PYRE0/edit?usp=share_link"",""ระนอง!I355"")+IMPORTRANGE(""https"&amp;"://docs.google.com/spreadsheets/d/16o_4B-V7AWw_6E93bSpXj_XxVv1oVQctk-B6z1dNEWU/edit?usp=share_link"",""สงขลา!I355"")+IMPORTRANGE(""https://docs.google.com/spreadsheets/d/16cywr71Fj4fA5OGRHsZh30ZG2gwJhMAQv69oVBzYHv0/edit?usp=share_link"",""สตูล!I355"")+IMP"&amp;"ORTRANGE(""https://docs.google.com/spreadsheets/d/1vO9Sws6kMtrVtyvrAJptINXjK8TFBoX9xLYOVK_C8bQ/edit?usp=share_link"",""สุราษฎร์ธานี!I355"")"),2225)</f>
        <v>2225</v>
      </c>
      <c r="J355" s="464">
        <f ca="1">J362</f>
        <v>2027</v>
      </c>
      <c r="K355" s="465">
        <f ca="1">IF(I355&gt;0,J355*100/I355,0)</f>
        <v>91.101123595505612</v>
      </c>
      <c r="L355" s="466"/>
      <c r="M355" s="466"/>
      <c r="N355" s="466"/>
      <c r="O355" s="466"/>
      <c r="P355" s="466"/>
    </row>
    <row r="356" spans="1:26" ht="20.25" customHeight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20.25" customHeight="1">
      <c r="A357" s="169"/>
      <c r="B357" s="170"/>
      <c r="C357" s="163" t="s">
        <v>16</v>
      </c>
      <c r="D357" s="171" t="s">
        <v>38</v>
      </c>
      <c r="E357" s="172"/>
      <c r="F357" s="172"/>
      <c r="G357" s="173"/>
      <c r="H357" s="174"/>
      <c r="I357" s="36"/>
      <c r="J357" s="36"/>
      <c r="K357" s="37"/>
      <c r="L357" s="162"/>
      <c r="M357" s="162"/>
      <c r="N357" s="162"/>
      <c r="O357" s="162"/>
      <c r="P357" s="162"/>
    </row>
    <row r="358" spans="1:26" ht="20.25" customHeight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IFERROR(__xludf.DUMMYFUNCTION("IMPORTRANGE(""https://docs.google.com/spreadsheets/d/1kC41EOXpGBFOW658Fs3oD8beYlym0-zO54WY-2Qnp9I/edit?usp=share_link"",""กระบี่!J358"")
+IMPORTRANGE(""https://docs.google.com/spreadsheets/d/1FbzMZY_f3MDiEuK7RpCQKrilJ_kpX0Wm7QBZ1L7EjIU/edit?usp=share_link"&amp;""",""ชุมพร!J358"")+IMPORTRANGE(""https://docs.google.com/spreadsheets/d/1v5sN-00LrXuhBxw4dkh2GrG_z4l5oAqOdJRBCsUyMaM/edit?usp=share_link"",""ตรัง!J358"")+IMPORTRANGE(""https://docs.google.com/spreadsheets/d/1T5rRTzFc79aSIvqnzkZNvwPstq829QYz_xALlO1Z0s8/edi"&amp;"t?usp=share_link"",""นครศรีธรรมราช!J358"")+IMPORTRANGE(""https://docs.google.com/spreadsheets/d/1BeghqumK0IvCmRd2QOy6_afsZq7ZtAGrSnVJy2u7WmY/edit?usp=share_link"",""นราธิวาส!J358"")+IMPORTRANGE(""https://docs.google.com/spreadsheets/d/1IwnW3-jjRf74MCLW-6P"&amp;"iFwMUffRQXZwZA7YM609NmRc/edit?usp=share_link"",""ปัตตานี!J358"")+IMPORTRANGE(""https://docs.google.com/spreadsheets/d/1vl4QWbWdFruual5o_wdo6ZSqXZ_it806oja4CctTLKs/edit?usp=share_link"",""พังงา!J358"")+IMPORTRANGE(""https://docs.google.com/spreadsheets/d/1"&amp;"b6QssHQp2FoAPSMKHOy273KNzAomaIKhtdlvuZ_zDNE/edit?usp=share_link"",""พัทลุง!J358"")+IMPORTRANGE(""https://docs.google.com/spreadsheets/d/1o7UZe4_OqlqtLDHrj01Z2YFRSZDf1DMy1n3XViHaxRc/edit?usp=share_link"",""ภูเก็ต!J358"")+IMPORTRANGE(""https://docs.google.c"&amp;"om/spreadsheets/d/1ctPm1vUzcUCPuOj9-eoHUD85PqINFqUB0TjdSWmR5-c/edit?usp=share_link"",""ยะลา!J358"")+IMPORTRANGE(""https://docs.google.com/spreadsheets/d/1YiDIE7Klmt8osgdapRqYWNr7iPGFSsiJqq46S7PYRE0/edit?usp=share_link"",""ระนอง!J358"")+IMPORTRANGE(""https"&amp;"://docs.google.com/spreadsheets/d/16o_4B-V7AWw_6E93bSpXj_XxVv1oVQctk-B6z1dNEWU/edit?usp=share_link"",""สงขลา!J358"")+IMPORTRANGE(""https://docs.google.com/spreadsheets/d/16cywr71Fj4fA5OGRHsZh30ZG2gwJhMAQv69oVBzYHv0/edit?usp=share_link"",""สตูล!J358"")+IMP"&amp;"ORTRANGE(""https://docs.google.com/spreadsheets/d/1vO9Sws6kMtrVtyvrAJptINXjK8TFBoX9xLYOVK_C8bQ/edit?usp=share_link"",""สุราษฎร์ธานี!J358"")"),2817)</f>
        <v>2817</v>
      </c>
      <c r="K358" s="37">
        <f t="shared" ref="K358:K365" si="188">IF(I358&gt;0,J358*100/I358,0)</f>
        <v>0</v>
      </c>
      <c r="L358" s="162"/>
      <c r="M358" s="162"/>
      <c r="N358" s="162"/>
      <c r="O358" s="162"/>
      <c r="P358" s="162"/>
    </row>
    <row r="359" spans="1:26" ht="20.25" customHeight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36">
        <f ca="1">IFERROR(__xludf.DUMMYFUNCTION("IMPORTRANGE(""https://docs.google.com/spreadsheets/d/1kC41EOXpGBFOW658Fs3oD8beYlym0-zO54WY-2Qnp9I/edit?usp=share_link"",""กระบี่!I359"")
+IMPORTRANGE(""https://docs.google.com/spreadsheets/d/1FbzMZY_f3MDiEuK7RpCQKrilJ_kpX0Wm7QBZ1L7EjIU/edit?usp=share_link"&amp;""",""ชุมพร!I359"")+IMPORTRANGE(""https://docs.google.com/spreadsheets/d/1v5sN-00LrXuhBxw4dkh2GrG_z4l5oAqOdJRBCsUyMaM/edit?usp=share_link"",""ตรัง!I359"")+IMPORTRANGE(""https://docs.google.com/spreadsheets/d/1T5rRTzFc79aSIvqnzkZNvwPstq829QYz_xALlO1Z0s8/edi"&amp;"t?usp=share_link"",""นครศรีธรรมราช!I359"")+IMPORTRANGE(""https://docs.google.com/spreadsheets/d/1BeghqumK0IvCmRd2QOy6_afsZq7ZtAGrSnVJy2u7WmY/edit?usp=share_link"",""นราธิวาส!I359"")+IMPORTRANGE(""https://docs.google.com/spreadsheets/d/1IwnW3-jjRf74MCLW-6P"&amp;"iFwMUffRQXZwZA7YM609NmRc/edit?usp=share_link"",""ปัตตานี!I359"")+IMPORTRANGE(""https://docs.google.com/spreadsheets/d/1vl4QWbWdFruual5o_wdo6ZSqXZ_it806oja4CctTLKs/edit?usp=share_link"",""พังงา!I359"")+IMPORTRANGE(""https://docs.google.com/spreadsheets/d/1"&amp;"b6QssHQp2FoAPSMKHOy273KNzAomaIKhtdlvuZ_zDNE/edit?usp=share_link"",""พัทลุง!I359"")+IMPORTRANGE(""https://docs.google.com/spreadsheets/d/1o7UZe4_OqlqtLDHrj01Z2YFRSZDf1DMy1n3XViHaxRc/edit?usp=share_link"",""ภูเก็ต!I359"")+IMPORTRANGE(""https://docs.google.c"&amp;"om/spreadsheets/d/1ctPm1vUzcUCPuOj9-eoHUD85PqINFqUB0TjdSWmR5-c/edit?usp=share_link"",""ยะลา!I359"")+IMPORTRANGE(""https://docs.google.com/spreadsheets/d/1YiDIE7Klmt8osgdapRqYWNr7iPGFSsiJqq46S7PYRE0/edit?usp=share_link"",""ระนอง!I359"")+IMPORTRANGE(""https"&amp;"://docs.google.com/spreadsheets/d/16o_4B-V7AWw_6E93bSpXj_XxVv1oVQctk-B6z1dNEWU/edit?usp=share_link"",""สงขลา!I359"")+IMPORTRANGE(""https://docs.google.com/spreadsheets/d/16cywr71Fj4fA5OGRHsZh30ZG2gwJhMAQv69oVBzYHv0/edit?usp=share_link"",""สตูล!I359"")+IMP"&amp;"ORTRANGE(""https://docs.google.com/spreadsheets/d/1vO9Sws6kMtrVtyvrAJptINXjK8TFBoX9xLYOVK_C8bQ/edit?usp=share_link"",""สุราษฎร์ธานี!I359"")"),20194)</f>
        <v>20194</v>
      </c>
      <c r="J359" s="269">
        <f ca="1">IFERROR(__xludf.DUMMYFUNCTION("IMPORTRANGE(""https://docs.google.com/spreadsheets/d/1kC41EOXpGBFOW658Fs3oD8beYlym0-zO54WY-2Qnp9I/edit?usp=share_link"",""กระบี่!J359"")
+IMPORTRANGE(""https://docs.google.com/spreadsheets/d/1FbzMZY_f3MDiEuK7RpCQKrilJ_kpX0Wm7QBZ1L7EjIU/edit?usp=share_link"&amp;""",""ชุมพร!J359"")+IMPORTRANGE(""https://docs.google.com/spreadsheets/d/1v5sN-00LrXuhBxw4dkh2GrG_z4l5oAqOdJRBCsUyMaM/edit?usp=share_link"",""ตรัง!J359"")+IMPORTRANGE(""https://docs.google.com/spreadsheets/d/1T5rRTzFc79aSIvqnzkZNvwPstq829QYz_xALlO1Z0s8/edi"&amp;"t?usp=share_link"",""นครศรีธรรมราช!J359"")+IMPORTRANGE(""https://docs.google.com/spreadsheets/d/1BeghqumK0IvCmRd2QOy6_afsZq7ZtAGrSnVJy2u7WmY/edit?usp=share_link"",""นราธิวาส!J359"")+IMPORTRANGE(""https://docs.google.com/spreadsheets/d/1IwnW3-jjRf74MCLW-6P"&amp;"iFwMUffRQXZwZA7YM609NmRc/edit?usp=share_link"",""ปัตตานี!J359"")+IMPORTRANGE(""https://docs.google.com/spreadsheets/d/1vl4QWbWdFruual5o_wdo6ZSqXZ_it806oja4CctTLKs/edit?usp=share_link"",""พังงา!J359"")+IMPORTRANGE(""https://docs.google.com/spreadsheets/d/1"&amp;"b6QssHQp2FoAPSMKHOy273KNzAomaIKhtdlvuZ_zDNE/edit?usp=share_link"",""พัทลุง!J359"")+IMPORTRANGE(""https://docs.google.com/spreadsheets/d/1o7UZe4_OqlqtLDHrj01Z2YFRSZDf1DMy1n3XViHaxRc/edit?usp=share_link"",""ภูเก็ต!J359"")+IMPORTRANGE(""https://docs.google.c"&amp;"om/spreadsheets/d/1ctPm1vUzcUCPuOj9-eoHUD85PqINFqUB0TjdSWmR5-c/edit?usp=share_link"",""ยะลา!J359"")+IMPORTRANGE(""https://docs.google.com/spreadsheets/d/1YiDIE7Klmt8osgdapRqYWNr7iPGFSsiJqq46S7PYRE0/edit?usp=share_link"",""ระนอง!J359"")+IMPORTRANGE(""https"&amp;"://docs.google.com/spreadsheets/d/16o_4B-V7AWw_6E93bSpXj_XxVv1oVQctk-B6z1dNEWU/edit?usp=share_link"",""สงขลา!J359"")+IMPORTRANGE(""https://docs.google.com/spreadsheets/d/16cywr71Fj4fA5OGRHsZh30ZG2gwJhMAQv69oVBzYHv0/edit?usp=share_link"",""สตูล!J359"")+IMP"&amp;"ORTRANGE(""https://docs.google.com/spreadsheets/d/1vO9Sws6kMtrVtyvrAJptINXjK8TFBoX9xLYOVK_C8bQ/edit?usp=share_link"",""สุราษฎร์ธานี!J359"")"),23987.02)</f>
        <v>23987.02</v>
      </c>
      <c r="K359" s="37">
        <f t="shared" ca="1" si="188"/>
        <v>118.782905813608</v>
      </c>
      <c r="L359" s="162"/>
      <c r="M359" s="162"/>
      <c r="N359" s="162"/>
      <c r="O359" s="162"/>
      <c r="P359" s="162"/>
    </row>
    <row r="360" spans="1:26" ht="20.25" customHeight="1">
      <c r="A360" s="169"/>
      <c r="B360" s="177"/>
      <c r="C360" s="170"/>
      <c r="D360" s="177"/>
      <c r="E360" s="175" t="s">
        <v>162</v>
      </c>
      <c r="F360" s="177"/>
      <c r="G360" s="178"/>
      <c r="H360" s="181" t="s">
        <v>35</v>
      </c>
      <c r="I360" s="36">
        <f ca="1">IFERROR(__xludf.DUMMYFUNCTION("IMPORTRANGE(""https://docs.google.com/spreadsheets/d/1kC41EOXpGBFOW658Fs3oD8beYlym0-zO54WY-2Qnp9I/edit?usp=share_link"",""กระบี่!I360"")
+IMPORTRANGE(""https://docs.google.com/spreadsheets/d/1FbzMZY_f3MDiEuK7RpCQKrilJ_kpX0Wm7QBZ1L7EjIU/edit?usp=share_link"&amp;""",""ชุมพร!I360"")+IMPORTRANGE(""https://docs.google.com/spreadsheets/d/1v5sN-00LrXuhBxw4dkh2GrG_z4l5oAqOdJRBCsUyMaM/edit?usp=share_link"",""ตรัง!I360"")+IMPORTRANGE(""https://docs.google.com/spreadsheets/d/1T5rRTzFc79aSIvqnzkZNvwPstq829QYz_xALlO1Z0s8/edi"&amp;"t?usp=share_link"",""นครศรีธรรมราช!I360"")+IMPORTRANGE(""https://docs.google.com/spreadsheets/d/1BeghqumK0IvCmRd2QOy6_afsZq7ZtAGrSnVJy2u7WmY/edit?usp=share_link"",""นราธิวาส!I360"")+IMPORTRANGE(""https://docs.google.com/spreadsheets/d/1IwnW3-jjRf74MCLW-6P"&amp;"iFwMUffRQXZwZA7YM609NmRc/edit?usp=share_link"",""ปัตตานี!I360"")+IMPORTRANGE(""https://docs.google.com/spreadsheets/d/1vl4QWbWdFruual5o_wdo6ZSqXZ_it806oja4CctTLKs/edit?usp=share_link"",""พังงา!I360"")+IMPORTRANGE(""https://docs.google.com/spreadsheets/d/1"&amp;"b6QssHQp2FoAPSMKHOy273KNzAomaIKhtdlvuZ_zDNE/edit?usp=share_link"",""พัทลุง!I360"")+IMPORTRANGE(""https://docs.google.com/spreadsheets/d/1o7UZe4_OqlqtLDHrj01Z2YFRSZDf1DMy1n3XViHaxRc/edit?usp=share_link"",""ภูเก็ต!I360"")+IMPORTRANGE(""https://docs.google.c"&amp;"om/spreadsheets/d/1ctPm1vUzcUCPuOj9-eoHUD85PqINFqUB0TjdSWmR5-c/edit?usp=share_link"",""ยะลา!I360"")+IMPORTRANGE(""https://docs.google.com/spreadsheets/d/1YiDIE7Klmt8osgdapRqYWNr7iPGFSsiJqq46S7PYRE0/edit?usp=share_link"",""ระนอง!I360"")+IMPORTRANGE(""https"&amp;"://docs.google.com/spreadsheets/d/16o_4B-V7AWw_6E93bSpXj_XxVv1oVQctk-B6z1dNEWU/edit?usp=share_link"",""สงขลา!I360"")+IMPORTRANGE(""https://docs.google.com/spreadsheets/d/16cywr71Fj4fA5OGRHsZh30ZG2gwJhMAQv69oVBzYHv0/edit?usp=share_link"",""สตูล!I360"")+IMP"&amp;"ORTRANGE(""https://docs.google.com/spreadsheets/d/1vO9Sws6kMtrVtyvrAJptINXjK8TFBoX9xLYOVK_C8bQ/edit?usp=share_link"",""สุราษฎร์ธานี!I360"")"),2225)</f>
        <v>2225</v>
      </c>
      <c r="J360" s="269">
        <f ca="1">IFERROR(__xludf.DUMMYFUNCTION("IMPORTRANGE(""https://docs.google.com/spreadsheets/d/1kC41EOXpGBFOW658Fs3oD8beYlym0-zO54WY-2Qnp9I/edit?usp=share_link"",""กระบี่!J360"")
+IMPORTRANGE(""https://docs.google.com/spreadsheets/d/1FbzMZY_f3MDiEuK7RpCQKrilJ_kpX0Wm7QBZ1L7EjIU/edit?usp=share_link"&amp;""",""ชุมพร!J360"")+IMPORTRANGE(""https://docs.google.com/spreadsheets/d/1v5sN-00LrXuhBxw4dkh2GrG_z4l5oAqOdJRBCsUyMaM/edit?usp=share_link"",""ตรัง!J360"")+IMPORTRANGE(""https://docs.google.com/spreadsheets/d/1T5rRTzFc79aSIvqnzkZNvwPstq829QYz_xALlO1Z0s8/edi"&amp;"t?usp=share_link"",""นครศรีธรรมราช!J360"")+IMPORTRANGE(""https://docs.google.com/spreadsheets/d/1BeghqumK0IvCmRd2QOy6_afsZq7ZtAGrSnVJy2u7WmY/edit?usp=share_link"",""นราธิวาส!J360"")+IMPORTRANGE(""https://docs.google.com/spreadsheets/d/1IwnW3-jjRf74MCLW-6P"&amp;"iFwMUffRQXZwZA7YM609NmRc/edit?usp=share_link"",""ปัตตานี!J360"")+IMPORTRANGE(""https://docs.google.com/spreadsheets/d/1vl4QWbWdFruual5o_wdo6ZSqXZ_it806oja4CctTLKs/edit?usp=share_link"",""พังงา!J360"")+IMPORTRANGE(""https://docs.google.com/spreadsheets/d/1"&amp;"b6QssHQp2FoAPSMKHOy273KNzAomaIKhtdlvuZ_zDNE/edit?usp=share_link"",""พัทลุง!J360"")+IMPORTRANGE(""https://docs.google.com/spreadsheets/d/1o7UZe4_OqlqtLDHrj01Z2YFRSZDf1DMy1n3XViHaxRc/edit?usp=share_link"",""ภูเก็ต!J360"")+IMPORTRANGE(""https://docs.google.c"&amp;"om/spreadsheets/d/1ctPm1vUzcUCPuOj9-eoHUD85PqINFqUB0TjdSWmR5-c/edit?usp=share_link"",""ยะลา!J360"")+IMPORTRANGE(""https://docs.google.com/spreadsheets/d/1YiDIE7Klmt8osgdapRqYWNr7iPGFSsiJqq46S7PYRE0/edit?usp=share_link"",""ระนอง!J360"")+IMPORTRANGE(""https"&amp;"://docs.google.com/spreadsheets/d/16o_4B-V7AWw_6E93bSpXj_XxVv1oVQctk-B6z1dNEWU/edit?usp=share_link"",""สงขลา!J360"")+IMPORTRANGE(""https://docs.google.com/spreadsheets/d/16cywr71Fj4fA5OGRHsZh30ZG2gwJhMAQv69oVBzYHv0/edit?usp=share_link"",""สตูล!J360"")+IMP"&amp;"ORTRANGE(""https://docs.google.com/spreadsheets/d/1vO9Sws6kMtrVtyvrAJptINXjK8TFBoX9xLYOVK_C8bQ/edit?usp=share_link"",""สุราษฎร์ธานี!J360"")"),2549)</f>
        <v>2549</v>
      </c>
      <c r="K360" s="37">
        <f t="shared" ca="1" si="188"/>
        <v>114.56179775280899</v>
      </c>
      <c r="L360" s="162"/>
      <c r="M360" s="162"/>
      <c r="N360" s="162"/>
      <c r="O360" s="162"/>
      <c r="P360" s="162"/>
    </row>
    <row r="361" spans="1:26" ht="20.25" customHeight="1">
      <c r="A361" s="169"/>
      <c r="B361" s="177"/>
      <c r="C361" s="170"/>
      <c r="D361" s="177"/>
      <c r="E361" s="177"/>
      <c r="F361" s="177"/>
      <c r="G361" s="178"/>
      <c r="H361" s="181" t="s">
        <v>46</v>
      </c>
      <c r="I361" s="269">
        <v>0</v>
      </c>
      <c r="J361" s="269">
        <f ca="1">IFERROR(__xludf.DUMMYFUNCTION("IMPORTRANGE(""https://docs.google.com/spreadsheets/d/1kC41EOXpGBFOW658Fs3oD8beYlym0-zO54WY-2Qnp9I/edit?usp=share_link"",""กระบี่!J361"")
+IMPORTRANGE(""https://docs.google.com/spreadsheets/d/1FbzMZY_f3MDiEuK7RpCQKrilJ_kpX0Wm7QBZ1L7EjIU/edit?usp=share_link"&amp;""",""ชุมพร!J361"")+IMPORTRANGE(""https://docs.google.com/spreadsheets/d/1v5sN-00LrXuhBxw4dkh2GrG_z4l5oAqOdJRBCsUyMaM/edit?usp=share_link"",""ตรัง!J361"")+IMPORTRANGE(""https://docs.google.com/spreadsheets/d/1T5rRTzFc79aSIvqnzkZNvwPstq829QYz_xALlO1Z0s8/edi"&amp;"t?usp=share_link"",""นครศรีธรรมราช!J361"")+IMPORTRANGE(""https://docs.google.com/spreadsheets/d/1BeghqumK0IvCmRd2QOy6_afsZq7ZtAGrSnVJy2u7WmY/edit?usp=share_link"",""นราธิวาส!J361"")+IMPORTRANGE(""https://docs.google.com/spreadsheets/d/1IwnW3-jjRf74MCLW-6P"&amp;"iFwMUffRQXZwZA7YM609NmRc/edit?usp=share_link"",""ปัตตานี!J361"")+IMPORTRANGE(""https://docs.google.com/spreadsheets/d/1vl4QWbWdFruual5o_wdo6ZSqXZ_it806oja4CctTLKs/edit?usp=share_link"",""พังงา!J361"")+IMPORTRANGE(""https://docs.google.com/spreadsheets/d/1"&amp;"b6QssHQp2FoAPSMKHOy273KNzAomaIKhtdlvuZ_zDNE/edit?usp=share_link"",""พัทลุง!J361"")+IMPORTRANGE(""https://docs.google.com/spreadsheets/d/1o7UZe4_OqlqtLDHrj01Z2YFRSZDf1DMy1n3XViHaxRc/edit?usp=share_link"",""ภูเก็ต!J361"")+IMPORTRANGE(""https://docs.google.c"&amp;"om/spreadsheets/d/1ctPm1vUzcUCPuOj9-eoHUD85PqINFqUB0TjdSWmR5-c/edit?usp=share_link"",""ยะลา!J361"")+IMPORTRANGE(""https://docs.google.com/spreadsheets/d/1YiDIE7Klmt8osgdapRqYWNr7iPGFSsiJqq46S7PYRE0/edit?usp=share_link"",""ระนอง!J361"")+IMPORTRANGE(""https"&amp;"://docs.google.com/spreadsheets/d/16o_4B-V7AWw_6E93bSpXj_XxVv1oVQctk-B6z1dNEWU/edit?usp=share_link"",""สงขลา!J361"")+IMPORTRANGE(""https://docs.google.com/spreadsheets/d/16cywr71Fj4fA5OGRHsZh30ZG2gwJhMAQv69oVBzYHv0/edit?usp=share_link"",""สตูล!J361"")+IMP"&amp;"ORTRANGE(""https://docs.google.com/spreadsheets/d/1vO9Sws6kMtrVtyvrAJptINXjK8TFBoX9xLYOVK_C8bQ/edit?usp=share_link"",""สุราษฎร์ธานี!J361"")"),23698.85)</f>
        <v>23698.85</v>
      </c>
      <c r="K361" s="37">
        <f t="shared" si="188"/>
        <v>0</v>
      </c>
      <c r="L361" s="162"/>
      <c r="M361" s="162"/>
      <c r="N361" s="162"/>
      <c r="O361" s="162"/>
      <c r="P361" s="162"/>
    </row>
    <row r="362" spans="1:26" ht="20.25" customHeight="1">
      <c r="A362" s="169"/>
      <c r="B362" s="177"/>
      <c r="C362" s="170"/>
      <c r="D362" s="177"/>
      <c r="E362" s="175" t="s">
        <v>163</v>
      </c>
      <c r="F362" s="177"/>
      <c r="G362" s="178"/>
      <c r="H362" s="181" t="s">
        <v>35</v>
      </c>
      <c r="I362" s="36">
        <f ca="1">IFERROR(__xludf.DUMMYFUNCTION("IMPORTRANGE(""https://docs.google.com/spreadsheets/d/1kC41EOXpGBFOW658Fs3oD8beYlym0-zO54WY-2Qnp9I/edit?usp=share_link"",""กระบี่!I362"")
+IMPORTRANGE(""https://docs.google.com/spreadsheets/d/1FbzMZY_f3MDiEuK7RpCQKrilJ_kpX0Wm7QBZ1L7EjIU/edit?usp=share_link"&amp;""",""ชุมพร!I362"")+IMPORTRANGE(""https://docs.google.com/spreadsheets/d/1v5sN-00LrXuhBxw4dkh2GrG_z4l5oAqOdJRBCsUyMaM/edit?usp=share_link"",""ตรัง!I362"")+IMPORTRANGE(""https://docs.google.com/spreadsheets/d/1T5rRTzFc79aSIvqnzkZNvwPstq829QYz_xALlO1Z0s8/edi"&amp;"t?usp=share_link"",""นครศรีธรรมราช!I362"")+IMPORTRANGE(""https://docs.google.com/spreadsheets/d/1BeghqumK0IvCmRd2QOy6_afsZq7ZtAGrSnVJy2u7WmY/edit?usp=share_link"",""นราธิวาส!I362"")+IMPORTRANGE(""https://docs.google.com/spreadsheets/d/1IwnW3-jjRf74MCLW-6P"&amp;"iFwMUffRQXZwZA7YM609NmRc/edit?usp=share_link"",""ปัตตานี!I362"")+IMPORTRANGE(""https://docs.google.com/spreadsheets/d/1vl4QWbWdFruual5o_wdo6ZSqXZ_it806oja4CctTLKs/edit?usp=share_link"",""พังงา!I362"")+IMPORTRANGE(""https://docs.google.com/spreadsheets/d/1"&amp;"b6QssHQp2FoAPSMKHOy273KNzAomaIKhtdlvuZ_zDNE/edit?usp=share_link"",""พัทลุง!I362"")+IMPORTRANGE(""https://docs.google.com/spreadsheets/d/1o7UZe4_OqlqtLDHrj01Z2YFRSZDf1DMy1n3XViHaxRc/edit?usp=share_link"",""ภูเก็ต!I362"")+IMPORTRANGE(""https://docs.google.c"&amp;"om/spreadsheets/d/1ctPm1vUzcUCPuOj9-eoHUD85PqINFqUB0TjdSWmR5-c/edit?usp=share_link"",""ยะลา!I362"")+IMPORTRANGE(""https://docs.google.com/spreadsheets/d/1YiDIE7Klmt8osgdapRqYWNr7iPGFSsiJqq46S7PYRE0/edit?usp=share_link"",""ระนอง!I362"")+IMPORTRANGE(""https"&amp;"://docs.google.com/spreadsheets/d/16o_4B-V7AWw_6E93bSpXj_XxVv1oVQctk-B6z1dNEWU/edit?usp=share_link"",""สงขลา!I362"")+IMPORTRANGE(""https://docs.google.com/spreadsheets/d/16cywr71Fj4fA5OGRHsZh30ZG2gwJhMAQv69oVBzYHv0/edit?usp=share_link"",""สตูล!I362"")+IMP"&amp;"ORTRANGE(""https://docs.google.com/spreadsheets/d/1vO9Sws6kMtrVtyvrAJptINXjK8TFBoX9xLYOVK_C8bQ/edit?usp=share_link"",""สุราษฎร์ธานี!I362"")"),2225)</f>
        <v>2225</v>
      </c>
      <c r="J362" s="269">
        <f ca="1">IFERROR(__xludf.DUMMYFUNCTION("IMPORTRANGE(""https://docs.google.com/spreadsheets/d/1kC41EOXpGBFOW658Fs3oD8beYlym0-zO54WY-2Qnp9I/edit?usp=share_link"",""กระบี่!J362"")
+IMPORTRANGE(""https://docs.google.com/spreadsheets/d/1FbzMZY_f3MDiEuK7RpCQKrilJ_kpX0Wm7QBZ1L7EjIU/edit?usp=share_link"&amp;""",""ชุมพร!J362"")+IMPORTRANGE(""https://docs.google.com/spreadsheets/d/1v5sN-00LrXuhBxw4dkh2GrG_z4l5oAqOdJRBCsUyMaM/edit?usp=share_link"",""ตรัง!J362"")+IMPORTRANGE(""https://docs.google.com/spreadsheets/d/1T5rRTzFc79aSIvqnzkZNvwPstq829QYz_xALlO1Z0s8/edi"&amp;"t?usp=share_link"",""นครศรีธรรมราช!J362"")+IMPORTRANGE(""https://docs.google.com/spreadsheets/d/1BeghqumK0IvCmRd2QOy6_afsZq7ZtAGrSnVJy2u7WmY/edit?usp=share_link"",""นราธิวาส!J362"")+IMPORTRANGE(""https://docs.google.com/spreadsheets/d/1IwnW3-jjRf74MCLW-6P"&amp;"iFwMUffRQXZwZA7YM609NmRc/edit?usp=share_link"",""ปัตตานี!J362"")+IMPORTRANGE(""https://docs.google.com/spreadsheets/d/1vl4QWbWdFruual5o_wdo6ZSqXZ_it806oja4CctTLKs/edit?usp=share_link"",""พังงา!J362"")+IMPORTRANGE(""https://docs.google.com/spreadsheets/d/1"&amp;"b6QssHQp2FoAPSMKHOy273KNzAomaIKhtdlvuZ_zDNE/edit?usp=share_link"",""พัทลุง!J362"")+IMPORTRANGE(""https://docs.google.com/spreadsheets/d/1o7UZe4_OqlqtLDHrj01Z2YFRSZDf1DMy1n3XViHaxRc/edit?usp=share_link"",""ภูเก็ต!J362"")+IMPORTRANGE(""https://docs.google.c"&amp;"om/spreadsheets/d/1ctPm1vUzcUCPuOj9-eoHUD85PqINFqUB0TjdSWmR5-c/edit?usp=share_link"",""ยะลา!J362"")+IMPORTRANGE(""https://docs.google.com/spreadsheets/d/1YiDIE7Klmt8osgdapRqYWNr7iPGFSsiJqq46S7PYRE0/edit?usp=share_link"",""ระนอง!J362"")+IMPORTRANGE(""https"&amp;"://docs.google.com/spreadsheets/d/16o_4B-V7AWw_6E93bSpXj_XxVv1oVQctk-B6z1dNEWU/edit?usp=share_link"",""สงขลา!J362"")+IMPORTRANGE(""https://docs.google.com/spreadsheets/d/16cywr71Fj4fA5OGRHsZh30ZG2gwJhMAQv69oVBzYHv0/edit?usp=share_link"",""สตูล!J362"")+IMP"&amp;"ORTRANGE(""https://docs.google.com/spreadsheets/d/1vO9Sws6kMtrVtyvrAJptINXjK8TFBoX9xLYOVK_C8bQ/edit?usp=share_link"",""สุราษฎร์ธานี!J362"")"),2027)</f>
        <v>2027</v>
      </c>
      <c r="K362" s="37">
        <f t="shared" ca="1" si="188"/>
        <v>91.101123595505612</v>
      </c>
      <c r="L362" s="162"/>
      <c r="M362" s="162"/>
      <c r="N362" s="162"/>
      <c r="O362" s="162"/>
      <c r="P362" s="162"/>
    </row>
    <row r="363" spans="1:26" ht="20.25" customHeight="1">
      <c r="A36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63" s="177"/>
      <c r="C363" s="170"/>
      <c r="D363" s="177"/>
      <c r="E363" s="176"/>
      <c r="F363" s="177"/>
      <c r="G363" s="178"/>
      <c r="H363" s="181" t="s">
        <v>46</v>
      </c>
      <c r="I363" s="269">
        <v>0</v>
      </c>
      <c r="J363" s="269">
        <f ca="1">IFERROR(__xludf.DUMMYFUNCTION("IMPORTRANGE(""https://docs.google.com/spreadsheets/d/1kC41EOXpGBFOW658Fs3oD8beYlym0-zO54WY-2Qnp9I/edit?usp=share_link"",""กระบี่!J363"")
+IMPORTRANGE(""https://docs.google.com/spreadsheets/d/1FbzMZY_f3MDiEuK7RpCQKrilJ_kpX0Wm7QBZ1L7EjIU/edit?usp=share_link"&amp;""",""ชุมพร!J363"")+IMPORTRANGE(""https://docs.google.com/spreadsheets/d/1v5sN-00LrXuhBxw4dkh2GrG_z4l5oAqOdJRBCsUyMaM/edit?usp=share_link"",""ตรัง!J363"")+IMPORTRANGE(""https://docs.google.com/spreadsheets/d/1T5rRTzFc79aSIvqnzkZNvwPstq829QYz_xALlO1Z0s8/edi"&amp;"t?usp=share_link"",""นครศรีธรรมราช!J363"")+IMPORTRANGE(""https://docs.google.com/spreadsheets/d/1BeghqumK0IvCmRd2QOy6_afsZq7ZtAGrSnVJy2u7WmY/edit?usp=share_link"",""นราธิวาส!J363"")+IMPORTRANGE(""https://docs.google.com/spreadsheets/d/1IwnW3-jjRf74MCLW-6P"&amp;"iFwMUffRQXZwZA7YM609NmRc/edit?usp=share_link"",""ปัตตานี!J363"")+IMPORTRANGE(""https://docs.google.com/spreadsheets/d/1vl4QWbWdFruual5o_wdo6ZSqXZ_it806oja4CctTLKs/edit?usp=share_link"",""พังงา!J363"")+IMPORTRANGE(""https://docs.google.com/spreadsheets/d/1"&amp;"b6QssHQp2FoAPSMKHOy273KNzAomaIKhtdlvuZ_zDNE/edit?usp=share_link"",""พัทลุง!J363"")+IMPORTRANGE(""https://docs.google.com/spreadsheets/d/1o7UZe4_OqlqtLDHrj01Z2YFRSZDf1DMy1n3XViHaxRc/edit?usp=share_link"",""ภูเก็ต!J363"")+IMPORTRANGE(""https://docs.google.c"&amp;"om/spreadsheets/d/1ctPm1vUzcUCPuOj9-eoHUD85PqINFqUB0TjdSWmR5-c/edit?usp=share_link"",""ยะลา!J363"")+IMPORTRANGE(""https://docs.google.com/spreadsheets/d/1YiDIE7Klmt8osgdapRqYWNr7iPGFSsiJqq46S7PYRE0/edit?usp=share_link"",""ระนอง!J363"")+IMPORTRANGE(""https"&amp;"://docs.google.com/spreadsheets/d/16o_4B-V7AWw_6E93bSpXj_XxVv1oVQctk-B6z1dNEWU/edit?usp=share_link"",""สงขลา!J363"")+IMPORTRANGE(""https://docs.google.com/spreadsheets/d/16cywr71Fj4fA5OGRHsZh30ZG2gwJhMAQv69oVBzYHv0/edit?usp=share_link"",""สตูล!J363"")+IMP"&amp;"ORTRANGE(""https://docs.google.com/spreadsheets/d/1vO9Sws6kMtrVtyvrAJptINXjK8TFBoX9xLYOVK_C8bQ/edit?usp=share_link"",""สุราษฎร์ธานี!J363"")"),18299.5)</f>
        <v>18299.5</v>
      </c>
      <c r="K363" s="37">
        <f t="shared" si="188"/>
        <v>0</v>
      </c>
      <c r="L363" s="162"/>
      <c r="M363" s="162"/>
      <c r="N363" s="162"/>
      <c r="O363" s="162"/>
      <c r="P363" s="162"/>
    </row>
    <row r="364" spans="1:26" ht="20.25" customHeight="1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t="shared" ref="I364:J364" ca="1" si="189">I365+I374</f>
        <v>4350</v>
      </c>
      <c r="J364" s="478">
        <f t="shared" ca="1" si="189"/>
        <v>5376</v>
      </c>
      <c r="K364" s="479">
        <f t="shared" ca="1" si="188"/>
        <v>123.58620689655173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20.25" customHeight="1">
      <c r="A365" s="482"/>
      <c r="B365" s="483"/>
      <c r="C365" s="484"/>
      <c r="D365" s="485" t="s">
        <v>165</v>
      </c>
      <c r="E365" s="486"/>
      <c r="F365" s="486"/>
      <c r="G365" s="487"/>
      <c r="H365" s="488" t="s">
        <v>35</v>
      </c>
      <c r="I365" s="489">
        <f ca="1">IFERROR(__xludf.DUMMYFUNCTION("IMPORTRANGE(""https://docs.google.com/spreadsheets/d/1kC41EOXpGBFOW658Fs3oD8beYlym0-zO54WY-2Qnp9I/edit?usp=share_link"",""กระบี่!I365"")
+IMPORTRANGE(""https://docs.google.com/spreadsheets/d/1FbzMZY_f3MDiEuK7RpCQKrilJ_kpX0Wm7QBZ1L7EjIU/edit?usp=share_link"&amp;""",""ชุมพร!I365"")+IMPORTRANGE(""https://docs.google.com/spreadsheets/d/1v5sN-00LrXuhBxw4dkh2GrG_z4l5oAqOdJRBCsUyMaM/edit?usp=share_link"",""ตรัง!I365"")+IMPORTRANGE(""https://docs.google.com/spreadsheets/d/1T5rRTzFc79aSIvqnzkZNvwPstq829QYz_xALlO1Z0s8/edi"&amp;"t?usp=share_link"",""นครศรีธรรมราช!I365"")+IMPORTRANGE(""https://docs.google.com/spreadsheets/d/1BeghqumK0IvCmRd2QOy6_afsZq7ZtAGrSnVJy2u7WmY/edit?usp=share_link"",""นราธิวาส!I365"")+IMPORTRANGE(""https://docs.google.com/spreadsheets/d/1IwnW3-jjRf74MCLW-6P"&amp;"iFwMUffRQXZwZA7YM609NmRc/edit?usp=share_link"",""ปัตตานี!I365"")+IMPORTRANGE(""https://docs.google.com/spreadsheets/d/1vl4QWbWdFruual5o_wdo6ZSqXZ_it806oja4CctTLKs/edit?usp=share_link"",""พังงา!I365"")+IMPORTRANGE(""https://docs.google.com/spreadsheets/d/1"&amp;"b6QssHQp2FoAPSMKHOy273KNzAomaIKhtdlvuZ_zDNE/edit?usp=share_link"",""พัทลุง!I365"")+IMPORTRANGE(""https://docs.google.com/spreadsheets/d/1o7UZe4_OqlqtLDHrj01Z2YFRSZDf1DMy1n3XViHaxRc/edit?usp=share_link"",""ภูเก็ต!I365"")+IMPORTRANGE(""https://docs.google.c"&amp;"om/spreadsheets/d/1ctPm1vUzcUCPuOj9-eoHUD85PqINFqUB0TjdSWmR5-c/edit?usp=share_link"",""ยะลา!I365"")+IMPORTRANGE(""https://docs.google.com/spreadsheets/d/1YiDIE7Klmt8osgdapRqYWNr7iPGFSsiJqq46S7PYRE0/edit?usp=share_link"",""ระนอง!I365"")+IMPORTRANGE(""https"&amp;"://docs.google.com/spreadsheets/d/16o_4B-V7AWw_6E93bSpXj_XxVv1oVQctk-B6z1dNEWU/edit?usp=share_link"",""สงขลา!I365"")+IMPORTRANGE(""https://docs.google.com/spreadsheets/d/16cywr71Fj4fA5OGRHsZh30ZG2gwJhMAQv69oVBzYHv0/edit?usp=share_link"",""สตูล!I365"")+IMP"&amp;"ORTRANGE(""https://docs.google.com/spreadsheets/d/1vO9Sws6kMtrVtyvrAJptINXjK8TFBoX9xLYOVK_C8bQ/edit?usp=share_link"",""สุราษฎร์ธานี!I365"")"),996)</f>
        <v>996</v>
      </c>
      <c r="J365" s="490">
        <f ca="1">J372</f>
        <v>1047</v>
      </c>
      <c r="K365" s="491">
        <f t="shared" ca="1" si="188"/>
        <v>105.12048192771084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20.25" customHeight="1">
      <c r="A366" s="482"/>
      <c r="B366" s="483"/>
      <c r="C366" s="484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20.25" customHeight="1">
      <c r="A367" s="169"/>
      <c r="B367" s="170"/>
      <c r="C367" s="163" t="s">
        <v>16</v>
      </c>
      <c r="D367" s="171" t="s">
        <v>38</v>
      </c>
      <c r="E367" s="172"/>
      <c r="F367" s="172"/>
      <c r="G367" s="173"/>
      <c r="H367" s="174"/>
      <c r="I367" s="36"/>
      <c r="J367" s="36"/>
      <c r="K367" s="37"/>
      <c r="L367" s="162"/>
      <c r="M367" s="162"/>
      <c r="N367" s="162"/>
      <c r="O367" s="162"/>
      <c r="P367" s="162"/>
    </row>
    <row r="368" spans="1:26" ht="20.25" customHeight="1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IFERROR(__xludf.DUMMYFUNCTION("IMPORTRANGE(""https://docs.google.com/spreadsheets/d/1kC41EOXpGBFOW658Fs3oD8beYlym0-zO54WY-2Qnp9I/edit?usp=share_link"",""กระบี่!J368"")
+IMPORTRANGE(""https://docs.google.com/spreadsheets/d/1FbzMZY_f3MDiEuK7RpCQKrilJ_kpX0Wm7QBZ1L7EjIU/edit?usp=share_link"&amp;""",""ชุมพร!J368"")+IMPORTRANGE(""https://docs.google.com/spreadsheets/d/1v5sN-00LrXuhBxw4dkh2GrG_z4l5oAqOdJRBCsUyMaM/edit?usp=share_link"",""ตรัง!J368"")+IMPORTRANGE(""https://docs.google.com/spreadsheets/d/1T5rRTzFc79aSIvqnzkZNvwPstq829QYz_xALlO1Z0s8/edi"&amp;"t?usp=share_link"",""นครศรีธรรมราช!J368"")+IMPORTRANGE(""https://docs.google.com/spreadsheets/d/1BeghqumK0IvCmRd2QOy6_afsZq7ZtAGrSnVJy2u7WmY/edit?usp=share_link"",""นราธิวาส!J368"")+IMPORTRANGE(""https://docs.google.com/spreadsheets/d/1IwnW3-jjRf74MCLW-6P"&amp;"iFwMUffRQXZwZA7YM609NmRc/edit?usp=share_link"",""ปัตตานี!J368"")+IMPORTRANGE(""https://docs.google.com/spreadsheets/d/1vl4QWbWdFruual5o_wdo6ZSqXZ_it806oja4CctTLKs/edit?usp=share_link"",""พังงา!J368"")+IMPORTRANGE(""https://docs.google.com/spreadsheets/d/1"&amp;"b6QssHQp2FoAPSMKHOy273KNzAomaIKhtdlvuZ_zDNE/edit?usp=share_link"",""พัทลุง!J368"")+IMPORTRANGE(""https://docs.google.com/spreadsheets/d/1o7UZe4_OqlqtLDHrj01Z2YFRSZDf1DMy1n3XViHaxRc/edit?usp=share_link"",""ภูเก็ต!J368"")+IMPORTRANGE(""https://docs.google.c"&amp;"om/spreadsheets/d/1ctPm1vUzcUCPuOj9-eoHUD85PqINFqUB0TjdSWmR5-c/edit?usp=share_link"",""ยะลา!J368"")+IMPORTRANGE(""https://docs.google.com/spreadsheets/d/1YiDIE7Klmt8osgdapRqYWNr7iPGFSsiJqq46S7PYRE0/edit?usp=share_link"",""ระนอง!J368"")+IMPORTRANGE(""https"&amp;"://docs.google.com/spreadsheets/d/16o_4B-V7AWw_6E93bSpXj_XxVv1oVQctk-B6z1dNEWU/edit?usp=share_link"",""สงขลา!J368"")+IMPORTRANGE(""https://docs.google.com/spreadsheets/d/16cywr71Fj4fA5OGRHsZh30ZG2gwJhMAQv69oVBzYHv0/edit?usp=share_link"",""สตูล!J368"")+IMP"&amp;"ORTRANGE(""https://docs.google.com/spreadsheets/d/1vO9Sws6kMtrVtyvrAJptINXjK8TFBoX9xLYOVK_C8bQ/edit?usp=share_link"",""สุราษฎร์ธานี!J368"")"),1125)</f>
        <v>1125</v>
      </c>
      <c r="K368" s="37">
        <f t="shared" ref="K368:K374" si="190">IF(I368&gt;0,J368*100/I368,0)</f>
        <v>0</v>
      </c>
      <c r="L368" s="162"/>
      <c r="M368" s="162"/>
      <c r="N368" s="162"/>
      <c r="O368" s="162"/>
      <c r="P368" s="162"/>
    </row>
    <row r="369" spans="1:26" ht="20.25" customHeight="1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36">
        <f ca="1">IFERROR(__xludf.DUMMYFUNCTION("IMPORTRANGE(""https://docs.google.com/spreadsheets/d/1kC41EOXpGBFOW658Fs3oD8beYlym0-zO54WY-2Qnp9I/edit?usp=share_link"",""กระบี่!I369"")
+IMPORTRANGE(""https://docs.google.com/spreadsheets/d/1FbzMZY_f3MDiEuK7RpCQKrilJ_kpX0Wm7QBZ1L7EjIU/edit?usp=share_link"&amp;""",""ชุมพร!I369"")+IMPORTRANGE(""https://docs.google.com/spreadsheets/d/1v5sN-00LrXuhBxw4dkh2GrG_z4l5oAqOdJRBCsUyMaM/edit?usp=share_link"",""ตรัง!I369"")+IMPORTRANGE(""https://docs.google.com/spreadsheets/d/1T5rRTzFc79aSIvqnzkZNvwPstq829QYz_xALlO1Z0s8/edi"&amp;"t?usp=share_link"",""นครศรีธรรมราช!I369"")+IMPORTRANGE(""https://docs.google.com/spreadsheets/d/1BeghqumK0IvCmRd2QOy6_afsZq7ZtAGrSnVJy2u7WmY/edit?usp=share_link"",""นราธิวาส!I369"")+IMPORTRANGE(""https://docs.google.com/spreadsheets/d/1IwnW3-jjRf74MCLW-6P"&amp;"iFwMUffRQXZwZA7YM609NmRc/edit?usp=share_link"",""ปัตตานี!I369"")+IMPORTRANGE(""https://docs.google.com/spreadsheets/d/1vl4QWbWdFruual5o_wdo6ZSqXZ_it806oja4CctTLKs/edit?usp=share_link"",""พังงา!I369"")+IMPORTRANGE(""https://docs.google.com/spreadsheets/d/1"&amp;"b6QssHQp2FoAPSMKHOy273KNzAomaIKhtdlvuZ_zDNE/edit?usp=share_link"",""พัทลุง!I369"")+IMPORTRANGE(""https://docs.google.com/spreadsheets/d/1o7UZe4_OqlqtLDHrj01Z2YFRSZDf1DMy1n3XViHaxRc/edit?usp=share_link"",""ภูเก็ต!I369"")+IMPORTRANGE(""https://docs.google.c"&amp;"om/spreadsheets/d/1ctPm1vUzcUCPuOj9-eoHUD85PqINFqUB0TjdSWmR5-c/edit?usp=share_link"",""ยะลา!I369"")+IMPORTRANGE(""https://docs.google.com/spreadsheets/d/1YiDIE7Klmt8osgdapRqYWNr7iPGFSsiJqq46S7PYRE0/edit?usp=share_link"",""ระนอง!I369"")+IMPORTRANGE(""https"&amp;"://docs.google.com/spreadsheets/d/16o_4B-V7AWw_6E93bSpXj_XxVv1oVQctk-B6z1dNEWU/edit?usp=share_link"",""สงขลา!I369"")+IMPORTRANGE(""https://docs.google.com/spreadsheets/d/16cywr71Fj4fA5OGRHsZh30ZG2gwJhMAQv69oVBzYHv0/edit?usp=share_link"",""สตูล!I369"")+IMP"&amp;"ORTRANGE(""https://docs.google.com/spreadsheets/d/1vO9Sws6kMtrVtyvrAJptINXjK8TFBoX9xLYOVK_C8bQ/edit?usp=share_link"",""สุราษฎร์ธานี!I369"")"),8983)</f>
        <v>8983</v>
      </c>
      <c r="J369" s="269">
        <f ca="1">IFERROR(__xludf.DUMMYFUNCTION("IMPORTRANGE(""https://docs.google.com/spreadsheets/d/1kC41EOXpGBFOW658Fs3oD8beYlym0-zO54WY-2Qnp9I/edit?usp=share_link"",""กระบี่!J369"")
+IMPORTRANGE(""https://docs.google.com/spreadsheets/d/1FbzMZY_f3MDiEuK7RpCQKrilJ_kpX0Wm7QBZ1L7EjIU/edit?usp=share_link"&amp;""",""ชุมพร!J369"")+IMPORTRANGE(""https://docs.google.com/spreadsheets/d/1v5sN-00LrXuhBxw4dkh2GrG_z4l5oAqOdJRBCsUyMaM/edit?usp=share_link"",""ตรัง!J369"")+IMPORTRANGE(""https://docs.google.com/spreadsheets/d/1T5rRTzFc79aSIvqnzkZNvwPstq829QYz_xALlO1Z0s8/edi"&amp;"t?usp=share_link"",""นครศรีธรรมราช!J369"")+IMPORTRANGE(""https://docs.google.com/spreadsheets/d/1BeghqumK0IvCmRd2QOy6_afsZq7ZtAGrSnVJy2u7WmY/edit?usp=share_link"",""นราธิวาส!J369"")+IMPORTRANGE(""https://docs.google.com/spreadsheets/d/1IwnW3-jjRf74MCLW-6P"&amp;"iFwMUffRQXZwZA7YM609NmRc/edit?usp=share_link"",""ปัตตานี!J369"")+IMPORTRANGE(""https://docs.google.com/spreadsheets/d/1vl4QWbWdFruual5o_wdo6ZSqXZ_it806oja4CctTLKs/edit?usp=share_link"",""พังงา!J369"")+IMPORTRANGE(""https://docs.google.com/spreadsheets/d/1"&amp;"b6QssHQp2FoAPSMKHOy273KNzAomaIKhtdlvuZ_zDNE/edit?usp=share_link"",""พัทลุง!J369"")+IMPORTRANGE(""https://docs.google.com/spreadsheets/d/1o7UZe4_OqlqtLDHrj01Z2YFRSZDf1DMy1n3XViHaxRc/edit?usp=share_link"",""ภูเก็ต!J369"")+IMPORTRANGE(""https://docs.google.c"&amp;"om/spreadsheets/d/1ctPm1vUzcUCPuOj9-eoHUD85PqINFqUB0TjdSWmR5-c/edit?usp=share_link"",""ยะลา!J369"")+IMPORTRANGE(""https://docs.google.com/spreadsheets/d/1YiDIE7Klmt8osgdapRqYWNr7iPGFSsiJqq46S7PYRE0/edit?usp=share_link"",""ระนอง!J369"")+IMPORTRANGE(""https"&amp;"://docs.google.com/spreadsheets/d/16o_4B-V7AWw_6E93bSpXj_XxVv1oVQctk-B6z1dNEWU/edit?usp=share_link"",""สงขลา!J369"")+IMPORTRANGE(""https://docs.google.com/spreadsheets/d/16cywr71Fj4fA5OGRHsZh30ZG2gwJhMAQv69oVBzYHv0/edit?usp=share_link"",""สตูล!J369"")+IMP"&amp;"ORTRANGE(""https://docs.google.com/spreadsheets/d/1vO9Sws6kMtrVtyvrAJptINXjK8TFBoX9xLYOVK_C8bQ/edit?usp=share_link"",""สุราษฎร์ธานี!J369"")"),9668.25)</f>
        <v>9668.25</v>
      </c>
      <c r="K369" s="37">
        <f t="shared" ca="1" si="190"/>
        <v>107.62829789602583</v>
      </c>
      <c r="L369" s="162"/>
      <c r="M369" s="162"/>
      <c r="N369" s="162"/>
      <c r="O369" s="162"/>
      <c r="P369" s="162"/>
    </row>
    <row r="370" spans="1:26" ht="20.25" customHeight="1">
      <c r="A370" s="169"/>
      <c r="B370" s="177"/>
      <c r="C370" s="170"/>
      <c r="D370" s="177"/>
      <c r="E370" s="175" t="s">
        <v>162</v>
      </c>
      <c r="F370" s="177"/>
      <c r="G370" s="178"/>
      <c r="H370" s="181" t="s">
        <v>35</v>
      </c>
      <c r="I370" s="36">
        <f ca="1">IFERROR(__xludf.DUMMYFUNCTION("IMPORTRANGE(""https://docs.google.com/spreadsheets/d/1kC41EOXpGBFOW658Fs3oD8beYlym0-zO54WY-2Qnp9I/edit?usp=share_link"",""กระบี่!I370"")
+IMPORTRANGE(""https://docs.google.com/spreadsheets/d/1FbzMZY_f3MDiEuK7RpCQKrilJ_kpX0Wm7QBZ1L7EjIU/edit?usp=share_link"&amp;""",""ชุมพร!I370"")+IMPORTRANGE(""https://docs.google.com/spreadsheets/d/1v5sN-00LrXuhBxw4dkh2GrG_z4l5oAqOdJRBCsUyMaM/edit?usp=share_link"",""ตรัง!I370"")+IMPORTRANGE(""https://docs.google.com/spreadsheets/d/1T5rRTzFc79aSIvqnzkZNvwPstq829QYz_xALlO1Z0s8/edi"&amp;"t?usp=share_link"",""นครศรีธรรมราช!I370"")+IMPORTRANGE(""https://docs.google.com/spreadsheets/d/1BeghqumK0IvCmRd2QOy6_afsZq7ZtAGrSnVJy2u7WmY/edit?usp=share_link"",""นราธิวาส!I370"")+IMPORTRANGE(""https://docs.google.com/spreadsheets/d/1IwnW3-jjRf74MCLW-6P"&amp;"iFwMUffRQXZwZA7YM609NmRc/edit?usp=share_link"",""ปัตตานี!I370"")+IMPORTRANGE(""https://docs.google.com/spreadsheets/d/1vl4QWbWdFruual5o_wdo6ZSqXZ_it806oja4CctTLKs/edit?usp=share_link"",""พังงา!I370"")+IMPORTRANGE(""https://docs.google.com/spreadsheets/d/1"&amp;"b6QssHQp2FoAPSMKHOy273KNzAomaIKhtdlvuZ_zDNE/edit?usp=share_link"",""พัทลุง!I370"")+IMPORTRANGE(""https://docs.google.com/spreadsheets/d/1o7UZe4_OqlqtLDHrj01Z2YFRSZDf1DMy1n3XViHaxRc/edit?usp=share_link"",""ภูเก็ต!I370"")+IMPORTRANGE(""https://docs.google.c"&amp;"om/spreadsheets/d/1ctPm1vUzcUCPuOj9-eoHUD85PqINFqUB0TjdSWmR5-c/edit?usp=share_link"",""ยะลา!I370"")+IMPORTRANGE(""https://docs.google.com/spreadsheets/d/1YiDIE7Klmt8osgdapRqYWNr7iPGFSsiJqq46S7PYRE0/edit?usp=share_link"",""ระนอง!I370"")+IMPORTRANGE(""https"&amp;"://docs.google.com/spreadsheets/d/16o_4B-V7AWw_6E93bSpXj_XxVv1oVQctk-B6z1dNEWU/edit?usp=share_link"",""สงขลา!I370"")+IMPORTRANGE(""https://docs.google.com/spreadsheets/d/16cywr71Fj4fA5OGRHsZh30ZG2gwJhMAQv69oVBzYHv0/edit?usp=share_link"",""สตูล!I370"")+IMP"&amp;"ORTRANGE(""https://docs.google.com/spreadsheets/d/1vO9Sws6kMtrVtyvrAJptINXjK8TFBoX9xLYOVK_C8bQ/edit?usp=share_link"",""สุราษฎร์ธานี!I370"")"),996)</f>
        <v>996</v>
      </c>
      <c r="J370" s="269">
        <f ca="1">IFERROR(__xludf.DUMMYFUNCTION("IMPORTRANGE(""https://docs.google.com/spreadsheets/d/1kC41EOXpGBFOW658Fs3oD8beYlym0-zO54WY-2Qnp9I/edit?usp=share_link"",""กระบี่!J370"")
+IMPORTRANGE(""https://docs.google.com/spreadsheets/d/1FbzMZY_f3MDiEuK7RpCQKrilJ_kpX0Wm7QBZ1L7EjIU/edit?usp=share_link"&amp;""",""ชุมพร!J370"")+IMPORTRANGE(""https://docs.google.com/spreadsheets/d/1v5sN-00LrXuhBxw4dkh2GrG_z4l5oAqOdJRBCsUyMaM/edit?usp=share_link"",""ตรัง!J370"")+IMPORTRANGE(""https://docs.google.com/spreadsheets/d/1T5rRTzFc79aSIvqnzkZNvwPstq829QYz_xALlO1Z0s8/edi"&amp;"t?usp=share_link"",""นครศรีธรรมราช!J370"")+IMPORTRANGE(""https://docs.google.com/spreadsheets/d/1BeghqumK0IvCmRd2QOy6_afsZq7ZtAGrSnVJy2u7WmY/edit?usp=share_link"",""นราธิวาส!J370"")+IMPORTRANGE(""https://docs.google.com/spreadsheets/d/1IwnW3-jjRf74MCLW-6P"&amp;"iFwMUffRQXZwZA7YM609NmRc/edit?usp=share_link"",""ปัตตานี!J370"")+IMPORTRANGE(""https://docs.google.com/spreadsheets/d/1vl4QWbWdFruual5o_wdo6ZSqXZ_it806oja4CctTLKs/edit?usp=share_link"",""พังงา!J370"")+IMPORTRANGE(""https://docs.google.com/spreadsheets/d/1"&amp;"b6QssHQp2FoAPSMKHOy273KNzAomaIKhtdlvuZ_zDNE/edit?usp=share_link"",""พัทลุง!J370"")+IMPORTRANGE(""https://docs.google.com/spreadsheets/d/1o7UZe4_OqlqtLDHrj01Z2YFRSZDf1DMy1n3XViHaxRc/edit?usp=share_link"",""ภูเก็ต!J370"")+IMPORTRANGE(""https://docs.google.c"&amp;"om/spreadsheets/d/1ctPm1vUzcUCPuOj9-eoHUD85PqINFqUB0TjdSWmR5-c/edit?usp=share_link"",""ยะลา!J370"")+IMPORTRANGE(""https://docs.google.com/spreadsheets/d/1YiDIE7Klmt8osgdapRqYWNr7iPGFSsiJqq46S7PYRE0/edit?usp=share_link"",""ระนอง!J370"")+IMPORTRANGE(""https"&amp;"://docs.google.com/spreadsheets/d/16o_4B-V7AWw_6E93bSpXj_XxVv1oVQctk-B6z1dNEWU/edit?usp=share_link"",""สงขลา!J370"")+IMPORTRANGE(""https://docs.google.com/spreadsheets/d/16cywr71Fj4fA5OGRHsZh30ZG2gwJhMAQv69oVBzYHv0/edit?usp=share_link"",""สตูล!J370"")+IMP"&amp;"ORTRANGE(""https://docs.google.com/spreadsheets/d/1vO9Sws6kMtrVtyvrAJptINXjK8TFBoX9xLYOVK_C8bQ/edit?usp=share_link"",""สุราษฎร์ธานี!J370"")"),1169)</f>
        <v>1169</v>
      </c>
      <c r="K370" s="37">
        <f t="shared" ca="1" si="190"/>
        <v>117.36947791164658</v>
      </c>
      <c r="L370" s="162"/>
      <c r="M370" s="162"/>
      <c r="N370" s="162"/>
      <c r="O370" s="162"/>
      <c r="P370" s="162"/>
    </row>
    <row r="371" spans="1:26" ht="20.25" customHeight="1">
      <c r="A371" s="169"/>
      <c r="B371" s="177"/>
      <c r="C371" s="170"/>
      <c r="D371" s="177"/>
      <c r="E371" s="177"/>
      <c r="F371" s="177"/>
      <c r="G371" s="178"/>
      <c r="H371" s="181" t="s">
        <v>46</v>
      </c>
      <c r="I371" s="269">
        <v>0</v>
      </c>
      <c r="J371" s="269">
        <f ca="1">IFERROR(__xludf.DUMMYFUNCTION("IMPORTRANGE(""https://docs.google.com/spreadsheets/d/1kC41EOXpGBFOW658Fs3oD8beYlym0-zO54WY-2Qnp9I/edit?usp=share_link"",""กระบี่!J371"")
+IMPORTRANGE(""https://docs.google.com/spreadsheets/d/1FbzMZY_f3MDiEuK7RpCQKrilJ_kpX0Wm7QBZ1L7EjIU/edit?usp=share_link"&amp;""",""ชุมพร!J371"")+IMPORTRANGE(""https://docs.google.com/spreadsheets/d/1v5sN-00LrXuhBxw4dkh2GrG_z4l5oAqOdJRBCsUyMaM/edit?usp=share_link"",""ตรัง!J371"")+IMPORTRANGE(""https://docs.google.com/spreadsheets/d/1T5rRTzFc79aSIvqnzkZNvwPstq829QYz_xALlO1Z0s8/edi"&amp;"t?usp=share_link"",""นครศรีธรรมราช!J371"")+IMPORTRANGE(""https://docs.google.com/spreadsheets/d/1BeghqumK0IvCmRd2QOy6_afsZq7ZtAGrSnVJy2u7WmY/edit?usp=share_link"",""นราธิวาส!J371"")+IMPORTRANGE(""https://docs.google.com/spreadsheets/d/1IwnW3-jjRf74MCLW-6P"&amp;"iFwMUffRQXZwZA7YM609NmRc/edit?usp=share_link"",""ปัตตานี!J371"")+IMPORTRANGE(""https://docs.google.com/spreadsheets/d/1vl4QWbWdFruual5o_wdo6ZSqXZ_it806oja4CctTLKs/edit?usp=share_link"",""พังงา!J371"")+IMPORTRANGE(""https://docs.google.com/spreadsheets/d/1"&amp;"b6QssHQp2FoAPSMKHOy273KNzAomaIKhtdlvuZ_zDNE/edit?usp=share_link"",""พัทลุง!J371"")+IMPORTRANGE(""https://docs.google.com/spreadsheets/d/1o7UZe4_OqlqtLDHrj01Z2YFRSZDf1DMy1n3XViHaxRc/edit?usp=share_link"",""ภูเก็ต!J371"")+IMPORTRANGE(""https://docs.google.c"&amp;"om/spreadsheets/d/1ctPm1vUzcUCPuOj9-eoHUD85PqINFqUB0TjdSWmR5-c/edit?usp=share_link"",""ยะลา!J371"")+IMPORTRANGE(""https://docs.google.com/spreadsheets/d/1YiDIE7Klmt8osgdapRqYWNr7iPGFSsiJqq46S7PYRE0/edit?usp=share_link"",""ระนอง!J371"")+IMPORTRANGE(""https"&amp;"://docs.google.com/spreadsheets/d/16o_4B-V7AWw_6E93bSpXj_XxVv1oVQctk-B6z1dNEWU/edit?usp=share_link"",""สงขลา!J371"")+IMPORTRANGE(""https://docs.google.com/spreadsheets/d/16cywr71Fj4fA5OGRHsZh30ZG2gwJhMAQv69oVBzYHv0/edit?usp=share_link"",""สตูล!J371"")+IMP"&amp;"ORTRANGE(""https://docs.google.com/spreadsheets/d/1vO9Sws6kMtrVtyvrAJptINXjK8TFBoX9xLYOVK_C8bQ/edit?usp=share_link"",""สุราษฎร์ธานี!J371"")"),11830.84)</f>
        <v>11830.84</v>
      </c>
      <c r="K371" s="37">
        <f t="shared" si="190"/>
        <v>0</v>
      </c>
      <c r="L371" s="162"/>
      <c r="M371" s="162"/>
      <c r="N371" s="162"/>
      <c r="O371" s="162"/>
      <c r="P371" s="162"/>
    </row>
    <row r="372" spans="1:26" ht="20.25" customHeight="1">
      <c r="A372" s="169"/>
      <c r="B372" s="177"/>
      <c r="C372" s="170"/>
      <c r="D372" s="177"/>
      <c r="E372" s="175" t="s">
        <v>163</v>
      </c>
      <c r="F372" s="177"/>
      <c r="G372" s="178"/>
      <c r="H372" s="181" t="s">
        <v>35</v>
      </c>
      <c r="I372" s="36">
        <f ca="1">IFERROR(__xludf.DUMMYFUNCTION("IMPORTRANGE(""https://docs.google.com/spreadsheets/d/1kC41EOXpGBFOW658Fs3oD8beYlym0-zO54WY-2Qnp9I/edit?usp=share_link"",""กระบี่!I372"")
+IMPORTRANGE(""https://docs.google.com/spreadsheets/d/1FbzMZY_f3MDiEuK7RpCQKrilJ_kpX0Wm7QBZ1L7EjIU/edit?usp=share_link"&amp;""",""ชุมพร!I372"")+IMPORTRANGE(""https://docs.google.com/spreadsheets/d/1v5sN-00LrXuhBxw4dkh2GrG_z4l5oAqOdJRBCsUyMaM/edit?usp=share_link"",""ตรัง!I372"")+IMPORTRANGE(""https://docs.google.com/spreadsheets/d/1T5rRTzFc79aSIvqnzkZNvwPstq829QYz_xALlO1Z0s8/edi"&amp;"t?usp=share_link"",""นครศรีธรรมราช!I372"")+IMPORTRANGE(""https://docs.google.com/spreadsheets/d/1BeghqumK0IvCmRd2QOy6_afsZq7ZtAGrSnVJy2u7WmY/edit?usp=share_link"",""นราธิวาส!I372"")+IMPORTRANGE(""https://docs.google.com/spreadsheets/d/1IwnW3-jjRf74MCLW-6P"&amp;"iFwMUffRQXZwZA7YM609NmRc/edit?usp=share_link"",""ปัตตานี!I372"")+IMPORTRANGE(""https://docs.google.com/spreadsheets/d/1vl4QWbWdFruual5o_wdo6ZSqXZ_it806oja4CctTLKs/edit?usp=share_link"",""พังงา!I372"")+IMPORTRANGE(""https://docs.google.com/spreadsheets/d/1"&amp;"b6QssHQp2FoAPSMKHOy273KNzAomaIKhtdlvuZ_zDNE/edit?usp=share_link"",""พัทลุง!I372"")+IMPORTRANGE(""https://docs.google.com/spreadsheets/d/1o7UZe4_OqlqtLDHrj01Z2YFRSZDf1DMy1n3XViHaxRc/edit?usp=share_link"",""ภูเก็ต!I372"")+IMPORTRANGE(""https://docs.google.c"&amp;"om/spreadsheets/d/1ctPm1vUzcUCPuOj9-eoHUD85PqINFqUB0TjdSWmR5-c/edit?usp=share_link"",""ยะลา!I372"")+IMPORTRANGE(""https://docs.google.com/spreadsheets/d/1YiDIE7Klmt8osgdapRqYWNr7iPGFSsiJqq46S7PYRE0/edit?usp=share_link"",""ระนอง!I372"")+IMPORTRANGE(""https"&amp;"://docs.google.com/spreadsheets/d/16o_4B-V7AWw_6E93bSpXj_XxVv1oVQctk-B6z1dNEWU/edit?usp=share_link"",""สงขลา!I372"")+IMPORTRANGE(""https://docs.google.com/spreadsheets/d/16cywr71Fj4fA5OGRHsZh30ZG2gwJhMAQv69oVBzYHv0/edit?usp=share_link"",""สตูล!I372"")+IMP"&amp;"ORTRANGE(""https://docs.google.com/spreadsheets/d/1vO9Sws6kMtrVtyvrAJptINXjK8TFBoX9xLYOVK_C8bQ/edit?usp=share_link"",""สุราษฎร์ธานี!I372"")"),996)</f>
        <v>996</v>
      </c>
      <c r="J372" s="269">
        <f ca="1">IFERROR(__xludf.DUMMYFUNCTION("IMPORTRANGE(""https://docs.google.com/spreadsheets/d/1kC41EOXpGBFOW658Fs3oD8beYlym0-zO54WY-2Qnp9I/edit?usp=share_link"",""กระบี่!J372"")
+IMPORTRANGE(""https://docs.google.com/spreadsheets/d/1FbzMZY_f3MDiEuK7RpCQKrilJ_kpX0Wm7QBZ1L7EjIU/edit?usp=share_link"&amp;""",""ชุมพร!J372"")+IMPORTRANGE(""https://docs.google.com/spreadsheets/d/1v5sN-00LrXuhBxw4dkh2GrG_z4l5oAqOdJRBCsUyMaM/edit?usp=share_link"",""ตรัง!J372"")+IMPORTRANGE(""https://docs.google.com/spreadsheets/d/1T5rRTzFc79aSIvqnzkZNvwPstq829QYz_xALlO1Z0s8/edi"&amp;"t?usp=share_link"",""นครศรีธรรมราช!J372"")+IMPORTRANGE(""https://docs.google.com/spreadsheets/d/1BeghqumK0IvCmRd2QOy6_afsZq7ZtAGrSnVJy2u7WmY/edit?usp=share_link"",""นราธิวาส!J372"")+IMPORTRANGE(""https://docs.google.com/spreadsheets/d/1IwnW3-jjRf74MCLW-6P"&amp;"iFwMUffRQXZwZA7YM609NmRc/edit?usp=share_link"",""ปัตตานี!J372"")+IMPORTRANGE(""https://docs.google.com/spreadsheets/d/1vl4QWbWdFruual5o_wdo6ZSqXZ_it806oja4CctTLKs/edit?usp=share_link"",""พังงา!J372"")+IMPORTRANGE(""https://docs.google.com/spreadsheets/d/1"&amp;"b6QssHQp2FoAPSMKHOy273KNzAomaIKhtdlvuZ_zDNE/edit?usp=share_link"",""พัทลุง!J372"")+IMPORTRANGE(""https://docs.google.com/spreadsheets/d/1o7UZe4_OqlqtLDHrj01Z2YFRSZDf1DMy1n3XViHaxRc/edit?usp=share_link"",""ภูเก็ต!J372"")+IMPORTRANGE(""https://docs.google.c"&amp;"om/spreadsheets/d/1ctPm1vUzcUCPuOj9-eoHUD85PqINFqUB0TjdSWmR5-c/edit?usp=share_link"",""ยะลา!J372"")+IMPORTRANGE(""https://docs.google.com/spreadsheets/d/1YiDIE7Klmt8osgdapRqYWNr7iPGFSsiJqq46S7PYRE0/edit?usp=share_link"",""ระนอง!J372"")+IMPORTRANGE(""https"&amp;"://docs.google.com/spreadsheets/d/16o_4B-V7AWw_6E93bSpXj_XxVv1oVQctk-B6z1dNEWU/edit?usp=share_link"",""สงขลา!J372"")+IMPORTRANGE(""https://docs.google.com/spreadsheets/d/16cywr71Fj4fA5OGRHsZh30ZG2gwJhMAQv69oVBzYHv0/edit?usp=share_link"",""สตูล!J372"")+IMP"&amp;"ORTRANGE(""https://docs.google.com/spreadsheets/d/1vO9Sws6kMtrVtyvrAJptINXjK8TFBoX9xLYOVK_C8bQ/edit?usp=share_link"",""สุราษฎร์ธานี!J372"")"),1047)</f>
        <v>1047</v>
      </c>
      <c r="K372" s="37">
        <f t="shared" ca="1" si="190"/>
        <v>105.12048192771084</v>
      </c>
      <c r="L372" s="162"/>
      <c r="M372" s="162"/>
      <c r="N372" s="162"/>
      <c r="O372" s="162"/>
      <c r="P372" s="162"/>
    </row>
    <row r="373" spans="1:26" ht="20.25" customHeight="1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7"/>
      <c r="C373" s="170"/>
      <c r="D373" s="177"/>
      <c r="E373" s="176"/>
      <c r="F373" s="177"/>
      <c r="G373" s="178"/>
      <c r="H373" s="181" t="s">
        <v>46</v>
      </c>
      <c r="I373" s="269">
        <v>0</v>
      </c>
      <c r="J373" s="269">
        <f ca="1">IFERROR(__xludf.DUMMYFUNCTION("IMPORTRANGE(""https://docs.google.com/spreadsheets/d/1kC41EOXpGBFOW658Fs3oD8beYlym0-zO54WY-2Qnp9I/edit?usp=share_link"",""กระบี่!J373"")
+IMPORTRANGE(""https://docs.google.com/spreadsheets/d/1FbzMZY_f3MDiEuK7RpCQKrilJ_kpX0Wm7QBZ1L7EjIU/edit?usp=share_link"&amp;""",""ชุมพร!J373"")+IMPORTRANGE(""https://docs.google.com/spreadsheets/d/1v5sN-00LrXuhBxw4dkh2GrG_z4l5oAqOdJRBCsUyMaM/edit?usp=share_link"",""ตรัง!J373"")+IMPORTRANGE(""https://docs.google.com/spreadsheets/d/1T5rRTzFc79aSIvqnzkZNvwPstq829QYz_xALlO1Z0s8/edi"&amp;"t?usp=share_link"",""นครศรีธรรมราช!J373"")+IMPORTRANGE(""https://docs.google.com/spreadsheets/d/1BeghqumK0IvCmRd2QOy6_afsZq7ZtAGrSnVJy2u7WmY/edit?usp=share_link"",""นราธิวาส!J373"")+IMPORTRANGE(""https://docs.google.com/spreadsheets/d/1IwnW3-jjRf74MCLW-6P"&amp;"iFwMUffRQXZwZA7YM609NmRc/edit?usp=share_link"",""ปัตตานี!J373"")+IMPORTRANGE(""https://docs.google.com/spreadsheets/d/1vl4QWbWdFruual5o_wdo6ZSqXZ_it806oja4CctTLKs/edit?usp=share_link"",""พังงา!J373"")+IMPORTRANGE(""https://docs.google.com/spreadsheets/d/1"&amp;"b6QssHQp2FoAPSMKHOy273KNzAomaIKhtdlvuZ_zDNE/edit?usp=share_link"",""พัทลุง!J373"")+IMPORTRANGE(""https://docs.google.com/spreadsheets/d/1o7UZe4_OqlqtLDHrj01Z2YFRSZDf1DMy1n3XViHaxRc/edit?usp=share_link"",""ภูเก็ต!J373"")+IMPORTRANGE(""https://docs.google.c"&amp;"om/spreadsheets/d/1ctPm1vUzcUCPuOj9-eoHUD85PqINFqUB0TjdSWmR5-c/edit?usp=share_link"",""ยะลา!J373"")+IMPORTRANGE(""https://docs.google.com/spreadsheets/d/1YiDIE7Klmt8osgdapRqYWNr7iPGFSsiJqq46S7PYRE0/edit?usp=share_link"",""ระนอง!J373"")+IMPORTRANGE(""https"&amp;"://docs.google.com/spreadsheets/d/16o_4B-V7AWw_6E93bSpXj_XxVv1oVQctk-B6z1dNEWU/edit?usp=share_link"",""สงขลา!J373"")+IMPORTRANGE(""https://docs.google.com/spreadsheets/d/16cywr71Fj4fA5OGRHsZh30ZG2gwJhMAQv69oVBzYHv0/edit?usp=share_link"",""สตูล!J373"")+IMP"&amp;"ORTRANGE(""https://docs.google.com/spreadsheets/d/1vO9Sws6kMtrVtyvrAJptINXjK8TFBoX9xLYOVK_C8bQ/edit?usp=share_link"",""สุราษฎร์ธานี!J373"")"),9918.18)</f>
        <v>9918.18</v>
      </c>
      <c r="K373" s="37">
        <f t="shared" si="190"/>
        <v>0</v>
      </c>
      <c r="L373" s="162"/>
      <c r="M373" s="162"/>
      <c r="N373" s="162"/>
      <c r="O373" s="162"/>
      <c r="P373" s="162"/>
    </row>
    <row r="374" spans="1:26" ht="20.25" customHeight="1">
      <c r="A374" s="482"/>
      <c r="B374" s="483"/>
      <c r="C374" s="484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IFERROR(__xludf.DUMMYFUNCTION("IMPORTRANGE(""https://docs.google.com/spreadsheets/d/1kC41EOXpGBFOW658Fs3oD8beYlym0-zO54WY-2Qnp9I/edit?usp=share_link"",""กระบี่!I374"")
+IMPORTRANGE(""https://docs.google.com/spreadsheets/d/1FbzMZY_f3MDiEuK7RpCQKrilJ_kpX0Wm7QBZ1L7EjIU/edit?usp=share_link"&amp;""",""ชุมพร!I374"")+IMPORTRANGE(""https://docs.google.com/spreadsheets/d/1v5sN-00LrXuhBxw4dkh2GrG_z4l5oAqOdJRBCsUyMaM/edit?usp=share_link"",""ตรัง!I374"")+IMPORTRANGE(""https://docs.google.com/spreadsheets/d/1T5rRTzFc79aSIvqnzkZNvwPstq829QYz_xALlO1Z0s8/edi"&amp;"t?usp=share_link"",""นครศรีธรรมราช!I374"")+IMPORTRANGE(""https://docs.google.com/spreadsheets/d/1BeghqumK0IvCmRd2QOy6_afsZq7ZtAGrSnVJy2u7WmY/edit?usp=share_link"",""นราธิวาส!I374"")+IMPORTRANGE(""https://docs.google.com/spreadsheets/d/1IwnW3-jjRf74MCLW-6P"&amp;"iFwMUffRQXZwZA7YM609NmRc/edit?usp=share_link"",""ปัตตานี!I374"")+IMPORTRANGE(""https://docs.google.com/spreadsheets/d/1vl4QWbWdFruual5o_wdo6ZSqXZ_it806oja4CctTLKs/edit?usp=share_link"",""พังงา!I374"")+IMPORTRANGE(""https://docs.google.com/spreadsheets/d/1"&amp;"b6QssHQp2FoAPSMKHOy273KNzAomaIKhtdlvuZ_zDNE/edit?usp=share_link"",""พัทลุง!I374"")+IMPORTRANGE(""https://docs.google.com/spreadsheets/d/1o7UZe4_OqlqtLDHrj01Z2YFRSZDf1DMy1n3XViHaxRc/edit?usp=share_link"",""ภูเก็ต!I374"")+IMPORTRANGE(""https://docs.google.c"&amp;"om/spreadsheets/d/1ctPm1vUzcUCPuOj9-eoHUD85PqINFqUB0TjdSWmR5-c/edit?usp=share_link"",""ยะลา!I374"")+IMPORTRANGE(""https://docs.google.com/spreadsheets/d/1YiDIE7Klmt8osgdapRqYWNr7iPGFSsiJqq46S7PYRE0/edit?usp=share_link"",""ระนอง!I374"")+IMPORTRANGE(""https"&amp;"://docs.google.com/spreadsheets/d/16o_4B-V7AWw_6E93bSpXj_XxVv1oVQctk-B6z1dNEWU/edit?usp=share_link"",""สงขลา!I374"")+IMPORTRANGE(""https://docs.google.com/spreadsheets/d/16cywr71Fj4fA5OGRHsZh30ZG2gwJhMAQv69oVBzYHv0/edit?usp=share_link"",""สตูล!I374"")+IMP"&amp;"ORTRANGE(""https://docs.google.com/spreadsheets/d/1vO9Sws6kMtrVtyvrAJptINXjK8TFBoX9xLYOVK_C8bQ/edit?usp=share_link"",""สุราษฎร์ธานี!I374"")"),3354)</f>
        <v>3354</v>
      </c>
      <c r="J374" s="490">
        <f ca="1">J381</f>
        <v>4329</v>
      </c>
      <c r="K374" s="491">
        <f t="shared" ca="1" si="190"/>
        <v>129.06976744186048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20.25" customHeight="1">
      <c r="A375" s="482"/>
      <c r="B375" s="483"/>
      <c r="C375" s="484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20.25" customHeight="1">
      <c r="A376" s="169"/>
      <c r="B376" s="170"/>
      <c r="C376" s="163" t="s">
        <v>16</v>
      </c>
      <c r="D376" s="171" t="s">
        <v>38</v>
      </c>
      <c r="E376" s="172"/>
      <c r="F376" s="172"/>
      <c r="G376" s="173"/>
      <c r="H376" s="174"/>
      <c r="I376" s="36"/>
      <c r="J376" s="36"/>
      <c r="K376" s="37"/>
      <c r="L376" s="162"/>
      <c r="M376" s="162"/>
      <c r="N376" s="162"/>
      <c r="O376" s="162"/>
      <c r="P376" s="162"/>
    </row>
    <row r="377" spans="1:26" ht="20.25" customHeight="1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IFERROR(__xludf.DUMMYFUNCTION("IMPORTRANGE(""https://docs.google.com/spreadsheets/d/1kC41EOXpGBFOW658Fs3oD8beYlym0-zO54WY-2Qnp9I/edit?usp=share_link"",""กระบี่!J377"")
+IMPORTRANGE(""https://docs.google.com/spreadsheets/d/1FbzMZY_f3MDiEuK7RpCQKrilJ_kpX0Wm7QBZ1L7EjIU/edit?usp=share_link"&amp;""",""ชุมพร!J377"")+IMPORTRANGE(""https://docs.google.com/spreadsheets/d/1v5sN-00LrXuhBxw4dkh2GrG_z4l5oAqOdJRBCsUyMaM/edit?usp=share_link"",""ตรัง!J377"")+IMPORTRANGE(""https://docs.google.com/spreadsheets/d/1T5rRTzFc79aSIvqnzkZNvwPstq829QYz_xALlO1Z0s8/edi"&amp;"t?usp=share_link"",""นครศรีธรรมราช!J377"")+IMPORTRANGE(""https://docs.google.com/spreadsheets/d/1BeghqumK0IvCmRd2QOy6_afsZq7ZtAGrSnVJy2u7WmY/edit?usp=share_link"",""นราธิวาส!J377"")+IMPORTRANGE(""https://docs.google.com/spreadsheets/d/1IwnW3-jjRf74MCLW-6P"&amp;"iFwMUffRQXZwZA7YM609NmRc/edit?usp=share_link"",""ปัตตานี!J377"")+IMPORTRANGE(""https://docs.google.com/spreadsheets/d/1vl4QWbWdFruual5o_wdo6ZSqXZ_it806oja4CctTLKs/edit?usp=share_link"",""พังงา!J377"")+IMPORTRANGE(""https://docs.google.com/spreadsheets/d/1"&amp;"b6QssHQp2FoAPSMKHOy273KNzAomaIKhtdlvuZ_zDNE/edit?usp=share_link"",""พัทลุง!J377"")+IMPORTRANGE(""https://docs.google.com/spreadsheets/d/1o7UZe4_OqlqtLDHrj01Z2YFRSZDf1DMy1n3XViHaxRc/edit?usp=share_link"",""ภูเก็ต!J377"")+IMPORTRANGE(""https://docs.google.c"&amp;"om/spreadsheets/d/1ctPm1vUzcUCPuOj9-eoHUD85PqINFqUB0TjdSWmR5-c/edit?usp=share_link"",""ยะลา!J377"")+IMPORTRANGE(""https://docs.google.com/spreadsheets/d/1YiDIE7Klmt8osgdapRqYWNr7iPGFSsiJqq46S7PYRE0/edit?usp=share_link"",""ระนอง!J377"")+IMPORTRANGE(""https"&amp;"://docs.google.com/spreadsheets/d/16o_4B-V7AWw_6E93bSpXj_XxVv1oVQctk-B6z1dNEWU/edit?usp=share_link"",""สงขลา!J377"")+IMPORTRANGE(""https://docs.google.com/spreadsheets/d/16cywr71Fj4fA5OGRHsZh30ZG2gwJhMAQv69oVBzYHv0/edit?usp=share_link"",""สตูล!J377"")+IMP"&amp;"ORTRANGE(""https://docs.google.com/spreadsheets/d/1vO9Sws6kMtrVtyvrAJptINXjK8TFBoX9xLYOVK_C8bQ/edit?usp=share_link"",""สุราษฎร์ธานี!J377"")"),1692)</f>
        <v>1692</v>
      </c>
      <c r="K377" s="497">
        <f t="shared" ref="K377:K382" si="191">IF(I377&gt;0,J377*100/I377,0)</f>
        <v>0</v>
      </c>
      <c r="L377" s="162"/>
      <c r="M377" s="162"/>
      <c r="N377" s="162"/>
      <c r="O377" s="162"/>
      <c r="P377" s="162"/>
    </row>
    <row r="378" spans="1:26" ht="20.25" customHeight="1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36">
        <f ca="1">IFERROR(__xludf.DUMMYFUNCTION("IMPORTRANGE(""https://docs.google.com/spreadsheets/d/1kC41EOXpGBFOW658Fs3oD8beYlym0-zO54WY-2Qnp9I/edit?usp=share_link"",""กระบี่!I378"")
+IMPORTRANGE(""https://docs.google.com/spreadsheets/d/1FbzMZY_f3MDiEuK7RpCQKrilJ_kpX0Wm7QBZ1L7EjIU/edit?usp=share_link"&amp;""",""ชุมพร!I378"")+IMPORTRANGE(""https://docs.google.com/spreadsheets/d/1v5sN-00LrXuhBxw4dkh2GrG_z4l5oAqOdJRBCsUyMaM/edit?usp=share_link"",""ตรัง!I378"")+IMPORTRANGE(""https://docs.google.com/spreadsheets/d/1T5rRTzFc79aSIvqnzkZNvwPstq829QYz_xALlO1Z0s8/edi"&amp;"t?usp=share_link"",""นครศรีธรรมราช!I378"")+IMPORTRANGE(""https://docs.google.com/spreadsheets/d/1BeghqumK0IvCmRd2QOy6_afsZq7ZtAGrSnVJy2u7WmY/edit?usp=share_link"",""นราธิวาส!I378"")+IMPORTRANGE(""https://docs.google.com/spreadsheets/d/1IwnW3-jjRf74MCLW-6P"&amp;"iFwMUffRQXZwZA7YM609NmRc/edit?usp=share_link"",""ปัตตานี!I378"")+IMPORTRANGE(""https://docs.google.com/spreadsheets/d/1vl4QWbWdFruual5o_wdo6ZSqXZ_it806oja4CctTLKs/edit?usp=share_link"",""พังงา!I378"")+IMPORTRANGE(""https://docs.google.com/spreadsheets/d/1"&amp;"b6QssHQp2FoAPSMKHOy273KNzAomaIKhtdlvuZ_zDNE/edit?usp=share_link"",""พัทลุง!I378"")+IMPORTRANGE(""https://docs.google.com/spreadsheets/d/1o7UZe4_OqlqtLDHrj01Z2YFRSZDf1DMy1n3XViHaxRc/edit?usp=share_link"",""ภูเก็ต!I378"")+IMPORTRANGE(""https://docs.google.c"&amp;"om/spreadsheets/d/1ctPm1vUzcUCPuOj9-eoHUD85PqINFqUB0TjdSWmR5-c/edit?usp=share_link"",""ยะลา!I378"")+IMPORTRANGE(""https://docs.google.com/spreadsheets/d/1YiDIE7Klmt8osgdapRqYWNr7iPGFSsiJqq46S7PYRE0/edit?usp=share_link"",""ระนอง!I378"")+IMPORTRANGE(""https"&amp;"://docs.google.com/spreadsheets/d/16o_4B-V7AWw_6E93bSpXj_XxVv1oVQctk-B6z1dNEWU/edit?usp=share_link"",""สงขลา!I378"")+IMPORTRANGE(""https://docs.google.com/spreadsheets/d/16cywr71Fj4fA5OGRHsZh30ZG2gwJhMAQv69oVBzYHv0/edit?usp=share_link"",""สตูล!I378"")+IMP"&amp;"ORTRANGE(""https://docs.google.com/spreadsheets/d/1vO9Sws6kMtrVtyvrAJptINXjK8TFBoX9xLYOVK_C8bQ/edit?usp=share_link"",""สุราษฎร์ธานี!I378"")"),11211)</f>
        <v>11211</v>
      </c>
      <c r="J378" s="269">
        <f ca="1">IFERROR(__xludf.DUMMYFUNCTION("IMPORTRANGE(""https://docs.google.com/spreadsheets/d/1kC41EOXpGBFOW658Fs3oD8beYlym0-zO54WY-2Qnp9I/edit?usp=share_link"",""กระบี่!J378"")
+IMPORTRANGE(""https://docs.google.com/spreadsheets/d/1FbzMZY_f3MDiEuK7RpCQKrilJ_kpX0Wm7QBZ1L7EjIU/edit?usp=share_link"&amp;""",""ชุมพร!J378"")+IMPORTRANGE(""https://docs.google.com/spreadsheets/d/1v5sN-00LrXuhBxw4dkh2GrG_z4l5oAqOdJRBCsUyMaM/edit?usp=share_link"",""ตรัง!J378"")+IMPORTRANGE(""https://docs.google.com/spreadsheets/d/1T5rRTzFc79aSIvqnzkZNvwPstq829QYz_xALlO1Z0s8/edi"&amp;"t?usp=share_link"",""นครศรีธรรมราช!J378"")+IMPORTRANGE(""https://docs.google.com/spreadsheets/d/1BeghqumK0IvCmRd2QOy6_afsZq7ZtAGrSnVJy2u7WmY/edit?usp=share_link"",""นราธิวาส!J378"")+IMPORTRANGE(""https://docs.google.com/spreadsheets/d/1IwnW3-jjRf74MCLW-6P"&amp;"iFwMUffRQXZwZA7YM609NmRc/edit?usp=share_link"",""ปัตตานี!J378"")+IMPORTRANGE(""https://docs.google.com/spreadsheets/d/1vl4QWbWdFruual5o_wdo6ZSqXZ_it806oja4CctTLKs/edit?usp=share_link"",""พังงา!J378"")+IMPORTRANGE(""https://docs.google.com/spreadsheets/d/1"&amp;"b6QssHQp2FoAPSMKHOy273KNzAomaIKhtdlvuZ_zDNE/edit?usp=share_link"",""พัทลุง!J378"")+IMPORTRANGE(""https://docs.google.com/spreadsheets/d/1o7UZe4_OqlqtLDHrj01Z2YFRSZDf1DMy1n3XViHaxRc/edit?usp=share_link"",""ภูเก็ต!J378"")+IMPORTRANGE(""https://docs.google.c"&amp;"om/spreadsheets/d/1ctPm1vUzcUCPuOj9-eoHUD85PqINFqUB0TjdSWmR5-c/edit?usp=share_link"",""ยะลา!J378"")+IMPORTRANGE(""https://docs.google.com/spreadsheets/d/1YiDIE7Klmt8osgdapRqYWNr7iPGFSsiJqq46S7PYRE0/edit?usp=share_link"",""ระนอง!J378"")+IMPORTRANGE(""https"&amp;"://docs.google.com/spreadsheets/d/16o_4B-V7AWw_6E93bSpXj_XxVv1oVQctk-B6z1dNEWU/edit?usp=share_link"",""สงขลา!J378"")+IMPORTRANGE(""https://docs.google.com/spreadsheets/d/16cywr71Fj4fA5OGRHsZh30ZG2gwJhMAQv69oVBzYHv0/edit?usp=share_link"",""สตูล!J378"")+IMP"&amp;"ORTRANGE(""https://docs.google.com/spreadsheets/d/1vO9Sws6kMtrVtyvrAJptINXjK8TFBoX9xLYOVK_C8bQ/edit?usp=share_link"",""สุราษฎร์ธานี!J378"")"),14318.77)</f>
        <v>14318.77</v>
      </c>
      <c r="K378" s="497">
        <f t="shared" ca="1" si="191"/>
        <v>127.72072072072072</v>
      </c>
      <c r="L378" s="162"/>
      <c r="M378" s="162"/>
      <c r="N378" s="162"/>
      <c r="O378" s="162"/>
      <c r="P378" s="162"/>
    </row>
    <row r="379" spans="1:26" ht="20.25" customHeight="1">
      <c r="A379" s="169"/>
      <c r="B379" s="177"/>
      <c r="C379" s="170"/>
      <c r="D379" s="177"/>
      <c r="E379" s="175" t="s">
        <v>162</v>
      </c>
      <c r="F379" s="177"/>
      <c r="G379" s="178"/>
      <c r="H379" s="181" t="s">
        <v>35</v>
      </c>
      <c r="I379" s="36">
        <f ca="1">IFERROR(__xludf.DUMMYFUNCTION("IMPORTRANGE(""https://docs.google.com/spreadsheets/d/1kC41EOXpGBFOW658Fs3oD8beYlym0-zO54WY-2Qnp9I/edit?usp=share_link"",""กระบี่!I379"")
+IMPORTRANGE(""https://docs.google.com/spreadsheets/d/1FbzMZY_f3MDiEuK7RpCQKrilJ_kpX0Wm7QBZ1L7EjIU/edit?usp=share_link"&amp;""",""ชุมพร!I379"")+IMPORTRANGE(""https://docs.google.com/spreadsheets/d/1v5sN-00LrXuhBxw4dkh2GrG_z4l5oAqOdJRBCsUyMaM/edit?usp=share_link"",""ตรัง!I379"")+IMPORTRANGE(""https://docs.google.com/spreadsheets/d/1T5rRTzFc79aSIvqnzkZNvwPstq829QYz_xALlO1Z0s8/edi"&amp;"t?usp=share_link"",""นครศรีธรรมราช!I379"")+IMPORTRANGE(""https://docs.google.com/spreadsheets/d/1BeghqumK0IvCmRd2QOy6_afsZq7ZtAGrSnVJy2u7WmY/edit?usp=share_link"",""นราธิวาส!I379"")+IMPORTRANGE(""https://docs.google.com/spreadsheets/d/1IwnW3-jjRf74MCLW-6P"&amp;"iFwMUffRQXZwZA7YM609NmRc/edit?usp=share_link"",""ปัตตานี!I379"")+IMPORTRANGE(""https://docs.google.com/spreadsheets/d/1vl4QWbWdFruual5o_wdo6ZSqXZ_it806oja4CctTLKs/edit?usp=share_link"",""พังงา!I379"")+IMPORTRANGE(""https://docs.google.com/spreadsheets/d/1"&amp;"b6QssHQp2FoAPSMKHOy273KNzAomaIKhtdlvuZ_zDNE/edit?usp=share_link"",""พัทลุง!I379"")+IMPORTRANGE(""https://docs.google.com/spreadsheets/d/1o7UZe4_OqlqtLDHrj01Z2YFRSZDf1DMy1n3XViHaxRc/edit?usp=share_link"",""ภูเก็ต!I379"")+IMPORTRANGE(""https://docs.google.c"&amp;"om/spreadsheets/d/1ctPm1vUzcUCPuOj9-eoHUD85PqINFqUB0TjdSWmR5-c/edit?usp=share_link"",""ยะลา!I379"")+IMPORTRANGE(""https://docs.google.com/spreadsheets/d/1YiDIE7Klmt8osgdapRqYWNr7iPGFSsiJqq46S7PYRE0/edit?usp=share_link"",""ระนอง!I379"")+IMPORTRANGE(""https"&amp;"://docs.google.com/spreadsheets/d/16o_4B-V7AWw_6E93bSpXj_XxVv1oVQctk-B6z1dNEWU/edit?usp=share_link"",""สงขลา!I379"")+IMPORTRANGE(""https://docs.google.com/spreadsheets/d/16cywr71Fj4fA5OGRHsZh30ZG2gwJhMAQv69oVBzYHv0/edit?usp=share_link"",""สตูล!I379"")+IMP"&amp;"ORTRANGE(""https://docs.google.com/spreadsheets/d/1vO9Sws6kMtrVtyvrAJptINXjK8TFBoX9xLYOVK_C8bQ/edit?usp=share_link"",""สุราษฎร์ธานี!I379"")"),3354)</f>
        <v>3354</v>
      </c>
      <c r="J379" s="269">
        <f ca="1">IFERROR(__xludf.DUMMYFUNCTION("IMPORTRANGE(""https://docs.google.com/spreadsheets/d/1kC41EOXpGBFOW658Fs3oD8beYlym0-zO54WY-2Qnp9I/edit?usp=share_link"",""กระบี่!J379"")
+IMPORTRANGE(""https://docs.google.com/spreadsheets/d/1FbzMZY_f3MDiEuK7RpCQKrilJ_kpX0Wm7QBZ1L7EjIU/edit?usp=share_link"&amp;""",""ชุมพร!J379"")+IMPORTRANGE(""https://docs.google.com/spreadsheets/d/1v5sN-00LrXuhBxw4dkh2GrG_z4l5oAqOdJRBCsUyMaM/edit?usp=share_link"",""ตรัง!J379"")+IMPORTRANGE(""https://docs.google.com/spreadsheets/d/1T5rRTzFc79aSIvqnzkZNvwPstq829QYz_xALlO1Z0s8/edi"&amp;"t?usp=share_link"",""นครศรีธรรมราช!J379"")+IMPORTRANGE(""https://docs.google.com/spreadsheets/d/1BeghqumK0IvCmRd2QOy6_afsZq7ZtAGrSnVJy2u7WmY/edit?usp=share_link"",""นราธิวาส!J379"")+IMPORTRANGE(""https://docs.google.com/spreadsheets/d/1IwnW3-jjRf74MCLW-6P"&amp;"iFwMUffRQXZwZA7YM609NmRc/edit?usp=share_link"",""ปัตตานี!J379"")+IMPORTRANGE(""https://docs.google.com/spreadsheets/d/1vl4QWbWdFruual5o_wdo6ZSqXZ_it806oja4CctTLKs/edit?usp=share_link"",""พังงา!J379"")+IMPORTRANGE(""https://docs.google.com/spreadsheets/d/1"&amp;"b6QssHQp2FoAPSMKHOy273KNzAomaIKhtdlvuZ_zDNE/edit?usp=share_link"",""พัทลุง!J379"")+IMPORTRANGE(""https://docs.google.com/spreadsheets/d/1o7UZe4_OqlqtLDHrj01Z2YFRSZDf1DMy1n3XViHaxRc/edit?usp=share_link"",""ภูเก็ต!J379"")+IMPORTRANGE(""https://docs.google.c"&amp;"om/spreadsheets/d/1ctPm1vUzcUCPuOj9-eoHUD85PqINFqUB0TjdSWmR5-c/edit?usp=share_link"",""ยะลา!J379"")+IMPORTRANGE(""https://docs.google.com/spreadsheets/d/1YiDIE7Klmt8osgdapRqYWNr7iPGFSsiJqq46S7PYRE0/edit?usp=share_link"",""ระนอง!J379"")+IMPORTRANGE(""https"&amp;"://docs.google.com/spreadsheets/d/16o_4B-V7AWw_6E93bSpXj_XxVv1oVQctk-B6z1dNEWU/edit?usp=share_link"",""สงขลา!J379"")+IMPORTRANGE(""https://docs.google.com/spreadsheets/d/16cywr71Fj4fA5OGRHsZh30ZG2gwJhMAQv69oVBzYHv0/edit?usp=share_link"",""สตูล!J379"")+IMP"&amp;"ORTRANGE(""https://docs.google.com/spreadsheets/d/1vO9Sws6kMtrVtyvrAJptINXjK8TFBoX9xLYOVK_C8bQ/edit?usp=share_link"",""สุราษฎร์ธานี!J379"")"),4740)</f>
        <v>4740</v>
      </c>
      <c r="K379" s="497">
        <f t="shared" ca="1" si="191"/>
        <v>141.32379248658319</v>
      </c>
      <c r="L379" s="162"/>
      <c r="M379" s="162"/>
      <c r="N379" s="162"/>
      <c r="O379" s="162"/>
      <c r="P379" s="162"/>
    </row>
    <row r="380" spans="1:26" ht="20.25" customHeight="1">
      <c r="A380" s="169"/>
      <c r="B380" s="177"/>
      <c r="C380" s="170"/>
      <c r="D380" s="177"/>
      <c r="E380" s="177"/>
      <c r="F380" s="177"/>
      <c r="G380" s="178"/>
      <c r="H380" s="181" t="s">
        <v>46</v>
      </c>
      <c r="I380" s="269">
        <v>0</v>
      </c>
      <c r="J380" s="269">
        <f ca="1">IFERROR(__xludf.DUMMYFUNCTION("IMPORTRANGE(""https://docs.google.com/spreadsheets/d/1kC41EOXpGBFOW658Fs3oD8beYlym0-zO54WY-2Qnp9I/edit?usp=share_link"",""กระบี่!J380"")
+IMPORTRANGE(""https://docs.google.com/spreadsheets/d/1FbzMZY_f3MDiEuK7RpCQKrilJ_kpX0Wm7QBZ1L7EjIU/edit?usp=share_link"&amp;""",""ชุมพร!J380"")+IMPORTRANGE(""https://docs.google.com/spreadsheets/d/1v5sN-00LrXuhBxw4dkh2GrG_z4l5oAqOdJRBCsUyMaM/edit?usp=share_link"",""ตรัง!J380"")+IMPORTRANGE(""https://docs.google.com/spreadsheets/d/1T5rRTzFc79aSIvqnzkZNvwPstq829QYz_xALlO1Z0s8/edi"&amp;"t?usp=share_link"",""นครศรีธรรมราช!J380"")+IMPORTRANGE(""https://docs.google.com/spreadsheets/d/1BeghqumK0IvCmRd2QOy6_afsZq7ZtAGrSnVJy2u7WmY/edit?usp=share_link"",""นราธิวาส!J380"")+IMPORTRANGE(""https://docs.google.com/spreadsheets/d/1IwnW3-jjRf74MCLW-6P"&amp;"iFwMUffRQXZwZA7YM609NmRc/edit?usp=share_link"",""ปัตตานี!J380"")+IMPORTRANGE(""https://docs.google.com/spreadsheets/d/1vl4QWbWdFruual5o_wdo6ZSqXZ_it806oja4CctTLKs/edit?usp=share_link"",""พังงา!J380"")+IMPORTRANGE(""https://docs.google.com/spreadsheets/d/1"&amp;"b6QssHQp2FoAPSMKHOy273KNzAomaIKhtdlvuZ_zDNE/edit?usp=share_link"",""พัทลุง!J380"")+IMPORTRANGE(""https://docs.google.com/spreadsheets/d/1o7UZe4_OqlqtLDHrj01Z2YFRSZDf1DMy1n3XViHaxRc/edit?usp=share_link"",""ภูเก็ต!J380"")+IMPORTRANGE(""https://docs.google.c"&amp;"om/spreadsheets/d/1ctPm1vUzcUCPuOj9-eoHUD85PqINFqUB0TjdSWmR5-c/edit?usp=share_link"",""ยะลา!J380"")+IMPORTRANGE(""https://docs.google.com/spreadsheets/d/1YiDIE7Klmt8osgdapRqYWNr7iPGFSsiJqq46S7PYRE0/edit?usp=share_link"",""ระนอง!J380"")+IMPORTRANGE(""https"&amp;"://docs.google.com/spreadsheets/d/16o_4B-V7AWw_6E93bSpXj_XxVv1oVQctk-B6z1dNEWU/edit?usp=share_link"",""สงขลา!J380"")+IMPORTRANGE(""https://docs.google.com/spreadsheets/d/16cywr71Fj4fA5OGRHsZh30ZG2gwJhMAQv69oVBzYHv0/edit?usp=share_link"",""สตูล!J380"")+IMP"&amp;"ORTRANGE(""https://docs.google.com/spreadsheets/d/1vO9Sws6kMtrVtyvrAJptINXjK8TFBoX9xLYOVK_C8bQ/edit?usp=share_link"",""สุราษฎร์ธานี!J380"")"),54222.34)</f>
        <v>54222.34</v>
      </c>
      <c r="K380" s="497">
        <f t="shared" si="191"/>
        <v>0</v>
      </c>
      <c r="L380" s="162"/>
      <c r="M380" s="162"/>
      <c r="N380" s="162"/>
      <c r="O380" s="162"/>
      <c r="P380" s="162"/>
    </row>
    <row r="381" spans="1:26" ht="20.25" customHeight="1">
      <c r="A381" s="169"/>
      <c r="B381" s="177"/>
      <c r="C381" s="170"/>
      <c r="D381" s="177"/>
      <c r="E381" s="175" t="s">
        <v>163</v>
      </c>
      <c r="F381" s="177"/>
      <c r="G381" s="178"/>
      <c r="H381" s="181" t="s">
        <v>35</v>
      </c>
      <c r="I381" s="36">
        <f ca="1">IFERROR(__xludf.DUMMYFUNCTION("IMPORTRANGE(""https://docs.google.com/spreadsheets/d/1kC41EOXpGBFOW658Fs3oD8beYlym0-zO54WY-2Qnp9I/edit?usp=share_link"",""กระบี่!I381"")
+IMPORTRANGE(""https://docs.google.com/spreadsheets/d/1FbzMZY_f3MDiEuK7RpCQKrilJ_kpX0Wm7QBZ1L7EjIU/edit?usp=share_link"&amp;""",""ชุมพร!I381"")+IMPORTRANGE(""https://docs.google.com/spreadsheets/d/1v5sN-00LrXuhBxw4dkh2GrG_z4l5oAqOdJRBCsUyMaM/edit?usp=share_link"",""ตรัง!I381"")+IMPORTRANGE(""https://docs.google.com/spreadsheets/d/1T5rRTzFc79aSIvqnzkZNvwPstq829QYz_xALlO1Z0s8/edi"&amp;"t?usp=share_link"",""นครศรีธรรมราช!I381"")+IMPORTRANGE(""https://docs.google.com/spreadsheets/d/1BeghqumK0IvCmRd2QOy6_afsZq7ZtAGrSnVJy2u7WmY/edit?usp=share_link"",""นราธิวาส!I381"")+IMPORTRANGE(""https://docs.google.com/spreadsheets/d/1IwnW3-jjRf74MCLW-6P"&amp;"iFwMUffRQXZwZA7YM609NmRc/edit?usp=share_link"",""ปัตตานี!I381"")+IMPORTRANGE(""https://docs.google.com/spreadsheets/d/1vl4QWbWdFruual5o_wdo6ZSqXZ_it806oja4CctTLKs/edit?usp=share_link"",""พังงา!I381"")+IMPORTRANGE(""https://docs.google.com/spreadsheets/d/1"&amp;"b6QssHQp2FoAPSMKHOy273KNzAomaIKhtdlvuZ_zDNE/edit?usp=share_link"",""พัทลุง!I381"")+IMPORTRANGE(""https://docs.google.com/spreadsheets/d/1o7UZe4_OqlqtLDHrj01Z2YFRSZDf1DMy1n3XViHaxRc/edit?usp=share_link"",""ภูเก็ต!I381"")+IMPORTRANGE(""https://docs.google.c"&amp;"om/spreadsheets/d/1ctPm1vUzcUCPuOj9-eoHUD85PqINFqUB0TjdSWmR5-c/edit?usp=share_link"",""ยะลา!I381"")+IMPORTRANGE(""https://docs.google.com/spreadsheets/d/1YiDIE7Klmt8osgdapRqYWNr7iPGFSsiJqq46S7PYRE0/edit?usp=share_link"",""ระนอง!I381"")+IMPORTRANGE(""https"&amp;"://docs.google.com/spreadsheets/d/16o_4B-V7AWw_6E93bSpXj_XxVv1oVQctk-B6z1dNEWU/edit?usp=share_link"",""สงขลา!I381"")+IMPORTRANGE(""https://docs.google.com/spreadsheets/d/16cywr71Fj4fA5OGRHsZh30ZG2gwJhMAQv69oVBzYHv0/edit?usp=share_link"",""สตูล!I381"")+IMP"&amp;"ORTRANGE(""https://docs.google.com/spreadsheets/d/1vO9Sws6kMtrVtyvrAJptINXjK8TFBoX9xLYOVK_C8bQ/edit?usp=share_link"",""สุราษฎร์ธานี!I381"")"),3354)</f>
        <v>3354</v>
      </c>
      <c r="J381" s="269">
        <f ca="1">IFERROR(__xludf.DUMMYFUNCTION("IMPORTRANGE(""https://docs.google.com/spreadsheets/d/1kC41EOXpGBFOW658Fs3oD8beYlym0-zO54WY-2Qnp9I/edit?usp=share_link"",""กระบี่!J381"")
+IMPORTRANGE(""https://docs.google.com/spreadsheets/d/1FbzMZY_f3MDiEuK7RpCQKrilJ_kpX0Wm7QBZ1L7EjIU/edit?usp=share_link"&amp;""",""ชุมพร!J381"")+IMPORTRANGE(""https://docs.google.com/spreadsheets/d/1v5sN-00LrXuhBxw4dkh2GrG_z4l5oAqOdJRBCsUyMaM/edit?usp=share_link"",""ตรัง!J381"")+IMPORTRANGE(""https://docs.google.com/spreadsheets/d/1T5rRTzFc79aSIvqnzkZNvwPstq829QYz_xALlO1Z0s8/edi"&amp;"t?usp=share_link"",""นครศรีธรรมราช!J381"")+IMPORTRANGE(""https://docs.google.com/spreadsheets/d/1BeghqumK0IvCmRd2QOy6_afsZq7ZtAGrSnVJy2u7WmY/edit?usp=share_link"",""นราธิวาส!J381"")+IMPORTRANGE(""https://docs.google.com/spreadsheets/d/1IwnW3-jjRf74MCLW-6P"&amp;"iFwMUffRQXZwZA7YM609NmRc/edit?usp=share_link"",""ปัตตานี!J381"")+IMPORTRANGE(""https://docs.google.com/spreadsheets/d/1vl4QWbWdFruual5o_wdo6ZSqXZ_it806oja4CctTLKs/edit?usp=share_link"",""พังงา!J381"")+IMPORTRANGE(""https://docs.google.com/spreadsheets/d/1"&amp;"b6QssHQp2FoAPSMKHOy273KNzAomaIKhtdlvuZ_zDNE/edit?usp=share_link"",""พัทลุง!J381"")+IMPORTRANGE(""https://docs.google.com/spreadsheets/d/1o7UZe4_OqlqtLDHrj01Z2YFRSZDf1DMy1n3XViHaxRc/edit?usp=share_link"",""ภูเก็ต!J381"")+IMPORTRANGE(""https://docs.google.c"&amp;"om/spreadsheets/d/1ctPm1vUzcUCPuOj9-eoHUD85PqINFqUB0TjdSWmR5-c/edit?usp=share_link"",""ยะลา!J381"")+IMPORTRANGE(""https://docs.google.com/spreadsheets/d/1YiDIE7Klmt8osgdapRqYWNr7iPGFSsiJqq46S7PYRE0/edit?usp=share_link"",""ระนอง!J381"")+IMPORTRANGE(""https"&amp;"://docs.google.com/spreadsheets/d/16o_4B-V7AWw_6E93bSpXj_XxVv1oVQctk-B6z1dNEWU/edit?usp=share_link"",""สงขลา!J381"")+IMPORTRANGE(""https://docs.google.com/spreadsheets/d/16cywr71Fj4fA5OGRHsZh30ZG2gwJhMAQv69oVBzYHv0/edit?usp=share_link"",""สตูล!J381"")+IMP"&amp;"ORTRANGE(""https://docs.google.com/spreadsheets/d/1vO9Sws6kMtrVtyvrAJptINXjK8TFBoX9xLYOVK_C8bQ/edit?usp=share_link"",""สุราษฎร์ธานี!J381"")"),4329)</f>
        <v>4329</v>
      </c>
      <c r="K381" s="497">
        <f t="shared" ca="1" si="191"/>
        <v>129.06976744186048</v>
      </c>
      <c r="L381" s="162"/>
      <c r="M381" s="162"/>
      <c r="N381" s="162"/>
      <c r="O381" s="162"/>
      <c r="P381" s="162"/>
    </row>
    <row r="382" spans="1:26" ht="20.25" customHeight="1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7"/>
      <c r="C382" s="170"/>
      <c r="D382" s="177"/>
      <c r="E382" s="176"/>
      <c r="F382" s="177"/>
      <c r="G382" s="178"/>
      <c r="H382" s="181" t="s">
        <v>46</v>
      </c>
      <c r="I382" s="269">
        <v>0</v>
      </c>
      <c r="J382" s="269">
        <f ca="1">IFERROR(__xludf.DUMMYFUNCTION("IMPORTRANGE(""https://docs.google.com/spreadsheets/d/1kC41EOXpGBFOW658Fs3oD8beYlym0-zO54WY-2Qnp9I/edit?usp=share_link"",""กระบี่!J382"")
+IMPORTRANGE(""https://docs.google.com/spreadsheets/d/1FbzMZY_f3MDiEuK7RpCQKrilJ_kpX0Wm7QBZ1L7EjIU/edit?usp=share_link"&amp;""",""ชุมพร!J382"")+IMPORTRANGE(""https://docs.google.com/spreadsheets/d/1v5sN-00LrXuhBxw4dkh2GrG_z4l5oAqOdJRBCsUyMaM/edit?usp=share_link"",""ตรัง!J382"")+IMPORTRANGE(""https://docs.google.com/spreadsheets/d/1T5rRTzFc79aSIvqnzkZNvwPstq829QYz_xALlO1Z0s8/edi"&amp;"t?usp=share_link"",""นครศรีธรรมราช!J382"")+IMPORTRANGE(""https://docs.google.com/spreadsheets/d/1BeghqumK0IvCmRd2QOy6_afsZq7ZtAGrSnVJy2u7WmY/edit?usp=share_link"",""นราธิวาส!J382"")+IMPORTRANGE(""https://docs.google.com/spreadsheets/d/1IwnW3-jjRf74MCLW-6P"&amp;"iFwMUffRQXZwZA7YM609NmRc/edit?usp=share_link"",""ปัตตานี!J382"")+IMPORTRANGE(""https://docs.google.com/spreadsheets/d/1vl4QWbWdFruual5o_wdo6ZSqXZ_it806oja4CctTLKs/edit?usp=share_link"",""พังงา!J382"")+IMPORTRANGE(""https://docs.google.com/spreadsheets/d/1"&amp;"b6QssHQp2FoAPSMKHOy273KNzAomaIKhtdlvuZ_zDNE/edit?usp=share_link"",""พัทลุง!J382"")+IMPORTRANGE(""https://docs.google.com/spreadsheets/d/1o7UZe4_OqlqtLDHrj01Z2YFRSZDf1DMy1n3XViHaxRc/edit?usp=share_link"",""ภูเก็ต!J382"")+IMPORTRANGE(""https://docs.google.c"&amp;"om/spreadsheets/d/1ctPm1vUzcUCPuOj9-eoHUD85PqINFqUB0TjdSWmR5-c/edit?usp=share_link"",""ยะลา!J382"")+IMPORTRANGE(""https://docs.google.com/spreadsheets/d/1YiDIE7Klmt8osgdapRqYWNr7iPGFSsiJqq46S7PYRE0/edit?usp=share_link"",""ระนอง!J382"")+IMPORTRANGE(""https"&amp;"://docs.google.com/spreadsheets/d/16o_4B-V7AWw_6E93bSpXj_XxVv1oVQctk-B6z1dNEWU/edit?usp=share_link"",""สงขลา!J382"")+IMPORTRANGE(""https://docs.google.com/spreadsheets/d/16cywr71Fj4fA5OGRHsZh30ZG2gwJhMAQv69oVBzYHv0/edit?usp=share_link"",""สตูล!J382"")+IMP"&amp;"ORTRANGE(""https://docs.google.com/spreadsheets/d/1vO9Sws6kMtrVtyvrAJptINXjK8TFBoX9xLYOVK_C8bQ/edit?usp=share_link"",""สุราษฎร์ธานี!J382"")"),50454.08)</f>
        <v>50454.080000000002</v>
      </c>
      <c r="K382" s="497">
        <f t="shared" si="191"/>
        <v>0</v>
      </c>
      <c r="L382" s="162"/>
      <c r="M382" s="162"/>
      <c r="N382" s="162"/>
      <c r="O382" s="162"/>
      <c r="P382" s="162"/>
    </row>
    <row r="383" spans="1:26" ht="20.25" customHeight="1">
      <c r="A383" s="498"/>
      <c r="B383" s="499"/>
      <c r="C383" s="290"/>
      <c r="D383" s="500" t="s">
        <v>169</v>
      </c>
      <c r="E383" s="290"/>
      <c r="F383" s="290"/>
      <c r="G383" s="501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20.25" customHeight="1">
      <c r="A384" s="169"/>
      <c r="B384" s="170"/>
      <c r="C384" s="32" t="s">
        <v>16</v>
      </c>
      <c r="D384" s="502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174"/>
      <c r="I384" s="36"/>
      <c r="J384" s="36"/>
      <c r="K384" s="37"/>
      <c r="L384" s="162"/>
      <c r="M384" s="162"/>
      <c r="N384" s="162"/>
      <c r="O384" s="162"/>
      <c r="P384" s="162"/>
    </row>
    <row r="385" spans="1:26" ht="20.25" customHeight="1">
      <c r="A385" s="377"/>
      <c r="B385" s="380"/>
      <c r="C385" s="378"/>
      <c r="D385" s="380"/>
      <c r="E385" s="503" t="s">
        <v>170</v>
      </c>
      <c r="F385" s="380"/>
      <c r="G385" s="381"/>
      <c r="H385" s="504" t="s">
        <v>35</v>
      </c>
      <c r="I385" s="505">
        <f ca="1">IFERROR(__xludf.DUMMYFUNCTION("IMPORTRANGE(""https://docs.google.com/spreadsheets/d/1kC41EOXpGBFOW658Fs3oD8beYlym0-zO54WY-2Qnp9I/edit?usp=share_link"",""กระบี่!I385"")
+IMPORTRANGE(""https://docs.google.com/spreadsheets/d/1FbzMZY_f3MDiEuK7RpCQKrilJ_kpX0Wm7QBZ1L7EjIU/edit?usp=share_link"&amp;""",""ชุมพร!I385"")+IMPORTRANGE(""https://docs.google.com/spreadsheets/d/1v5sN-00LrXuhBxw4dkh2GrG_z4l5oAqOdJRBCsUyMaM/edit?usp=share_link"",""ตรัง!I385"")+IMPORTRANGE(""https://docs.google.com/spreadsheets/d/1T5rRTzFc79aSIvqnzkZNvwPstq829QYz_xALlO1Z0s8/edi"&amp;"t?usp=share_link"",""นครศรีธรรมราช!I385"")+IMPORTRANGE(""https://docs.google.com/spreadsheets/d/1BeghqumK0IvCmRd2QOy6_afsZq7ZtAGrSnVJy2u7WmY/edit?usp=share_link"",""นราธิวาส!I385"")+IMPORTRANGE(""https://docs.google.com/spreadsheets/d/1IwnW3-jjRf74MCLW-6P"&amp;"iFwMUffRQXZwZA7YM609NmRc/edit?usp=share_link"",""ปัตตานี!I385"")+IMPORTRANGE(""https://docs.google.com/spreadsheets/d/1vl4QWbWdFruual5o_wdo6ZSqXZ_it806oja4CctTLKs/edit?usp=share_link"",""พังงา!I385"")+IMPORTRANGE(""https://docs.google.com/spreadsheets/d/1"&amp;"b6QssHQp2FoAPSMKHOy273KNzAomaIKhtdlvuZ_zDNE/edit?usp=share_link"",""พัทลุง!I385"")+IMPORTRANGE(""https://docs.google.com/spreadsheets/d/1o7UZe4_OqlqtLDHrj01Z2YFRSZDf1DMy1n3XViHaxRc/edit?usp=share_link"",""ภูเก็ต!I385"")+IMPORTRANGE(""https://docs.google.c"&amp;"om/spreadsheets/d/1ctPm1vUzcUCPuOj9-eoHUD85PqINFqUB0TjdSWmR5-c/edit?usp=share_link"",""ยะลา!I385"")+IMPORTRANGE(""https://docs.google.com/spreadsheets/d/1YiDIE7Klmt8osgdapRqYWNr7iPGFSsiJqq46S7PYRE0/edit?usp=share_link"",""ระนอง!I385"")+IMPORTRANGE(""https"&amp;"://docs.google.com/spreadsheets/d/16o_4B-V7AWw_6E93bSpXj_XxVv1oVQctk-B6z1dNEWU/edit?usp=share_link"",""สงขลา!I385"")+IMPORTRANGE(""https://docs.google.com/spreadsheets/d/16cywr71Fj4fA5OGRHsZh30ZG2gwJhMAQv69oVBzYHv0/edit?usp=share_link"",""สตูล!I385"")+IMP"&amp;"ORTRANGE(""https://docs.google.com/spreadsheets/d/1vO9Sws6kMtrVtyvrAJptINXjK8TFBoX9xLYOVK_C8bQ/edit?usp=share_link"",""สุราษฎร์ธานี!I385"")"),352)</f>
        <v>352</v>
      </c>
      <c r="J385" s="505">
        <f ca="1">IFERROR(__xludf.DUMMYFUNCTION("IMPORTRANGE(""https://docs.google.com/spreadsheets/d/1kC41EOXpGBFOW658Fs3oD8beYlym0-zO54WY-2Qnp9I/edit?usp=share_link"",""กระบี่!J385"")
+IMPORTRANGE(""https://docs.google.com/spreadsheets/d/1FbzMZY_f3MDiEuK7RpCQKrilJ_kpX0Wm7QBZ1L7EjIU/edit?usp=share_link"&amp;""",""ชุมพร!J385"")+IMPORTRANGE(""https://docs.google.com/spreadsheets/d/1v5sN-00LrXuhBxw4dkh2GrG_z4l5oAqOdJRBCsUyMaM/edit?usp=share_link"",""ตรัง!J385"")+IMPORTRANGE(""https://docs.google.com/spreadsheets/d/1T5rRTzFc79aSIvqnzkZNvwPstq829QYz_xALlO1Z0s8/edi"&amp;"t?usp=share_link"",""นครศรีธรรมราช!J385"")+IMPORTRANGE(""https://docs.google.com/spreadsheets/d/1BeghqumK0IvCmRd2QOy6_afsZq7ZtAGrSnVJy2u7WmY/edit?usp=share_link"",""นราธิวาส!J385"")+IMPORTRANGE(""https://docs.google.com/spreadsheets/d/1IwnW3-jjRf74MCLW-6P"&amp;"iFwMUffRQXZwZA7YM609NmRc/edit?usp=share_link"",""ปัตตานี!J385"")+IMPORTRANGE(""https://docs.google.com/spreadsheets/d/1vl4QWbWdFruual5o_wdo6ZSqXZ_it806oja4CctTLKs/edit?usp=share_link"",""พังงา!J385"")+IMPORTRANGE(""https://docs.google.com/spreadsheets/d/1"&amp;"b6QssHQp2FoAPSMKHOy273KNzAomaIKhtdlvuZ_zDNE/edit?usp=share_link"",""พัทลุง!J385"")+IMPORTRANGE(""https://docs.google.com/spreadsheets/d/1o7UZe4_OqlqtLDHrj01Z2YFRSZDf1DMy1n3XViHaxRc/edit?usp=share_link"",""ภูเก็ต!J385"")+IMPORTRANGE(""https://docs.google.c"&amp;"om/spreadsheets/d/1ctPm1vUzcUCPuOj9-eoHUD85PqINFqUB0TjdSWmR5-c/edit?usp=share_link"",""ยะลา!J385"")+IMPORTRANGE(""https://docs.google.com/spreadsheets/d/1YiDIE7Klmt8osgdapRqYWNr7iPGFSsiJqq46S7PYRE0/edit?usp=share_link"",""ระนอง!J385"")+IMPORTRANGE(""https"&amp;"://docs.google.com/spreadsheets/d/16o_4B-V7AWw_6E93bSpXj_XxVv1oVQctk-B6z1dNEWU/edit?usp=share_link"",""สงขลา!J385"")+IMPORTRANGE(""https://docs.google.com/spreadsheets/d/16cywr71Fj4fA5OGRHsZh30ZG2gwJhMAQv69oVBzYHv0/edit?usp=share_link"",""สตูล!J385"")+IMP"&amp;"ORTRANGE(""https://docs.google.com/spreadsheets/d/1vO9Sws6kMtrVtyvrAJptINXjK8TFBoX9xLYOVK_C8bQ/edit?usp=share_link"",""สุราษฎร์ธานี!J385"")"),240)</f>
        <v>240</v>
      </c>
      <c r="K385" s="506">
        <f ca="1">IF(I385&gt;0,J385*100/I385,0)</f>
        <v>68.181818181818187</v>
      </c>
      <c r="L385" s="384"/>
      <c r="M385" s="384"/>
      <c r="N385" s="384"/>
      <c r="O385" s="384"/>
      <c r="P385" s="384"/>
    </row>
    <row r="386" spans="1:26" ht="20.25" customHeight="1">
      <c r="A386" s="507" t="s">
        <v>171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20.25" customHeight="1">
      <c r="A387" s="514" t="s">
        <v>172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20.25" customHeight="1">
      <c r="A388" s="520"/>
      <c r="B388" s="521" t="s">
        <v>173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ca="1" si="192">I400</f>
        <v>0</v>
      </c>
      <c r="J388" s="526">
        <f t="shared" ca="1" si="192"/>
        <v>0</v>
      </c>
      <c r="K388" s="527">
        <f ca="1">IF(I388&gt;0,J388*100/I388,0)</f>
        <v>0</v>
      </c>
      <c r="L388" s="528"/>
      <c r="M388" s="528"/>
      <c r="N388" s="528"/>
      <c r="O388" s="528"/>
      <c r="P388" s="528"/>
    </row>
    <row r="389" spans="1:26" ht="20.25" customHeight="1">
      <c r="A389" s="146"/>
      <c r="B389" s="147"/>
      <c r="C389" s="148" t="s">
        <v>16</v>
      </c>
      <c r="D389" s="149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93">L390+L391</f>
        <v>26000000</v>
      </c>
      <c r="M389" s="154">
        <f t="shared" ca="1" si="193"/>
        <v>26000000</v>
      </c>
      <c r="N389" s="154">
        <f t="shared" ca="1" si="193"/>
        <v>0</v>
      </c>
      <c r="O389" s="154">
        <f t="shared" ref="O389:O397" ca="1" si="194">IF(L389&gt;0,N389*100/L389,0)</f>
        <v>0</v>
      </c>
      <c r="P389" s="154">
        <f t="shared" ref="P389:P397" ca="1" si="195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20.25" hidden="1" customHeight="1">
      <c r="A390" s="155"/>
      <c r="B390" s="39"/>
      <c r="C390" s="39"/>
      <c r="D390" s="39"/>
      <c r="E390" s="40" t="s">
        <v>18</v>
      </c>
      <c r="F390" s="39"/>
      <c r="G390" s="156"/>
      <c r="H390" s="157" t="s">
        <v>12</v>
      </c>
      <c r="I390" s="43"/>
      <c r="J390" s="43"/>
      <c r="K390" s="44"/>
      <c r="L390" s="44">
        <f t="shared" ref="L390:N390" si="196">L393+L396</f>
        <v>0</v>
      </c>
      <c r="M390" s="44">
        <f t="shared" si="196"/>
        <v>0</v>
      </c>
      <c r="N390" s="44">
        <f t="shared" si="196"/>
        <v>0</v>
      </c>
      <c r="O390" s="44">
        <f t="shared" si="194"/>
        <v>0</v>
      </c>
      <c r="P390" s="44">
        <f t="shared" si="195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0.25" hidden="1" customHeight="1">
      <c r="A391" s="155"/>
      <c r="B391" s="39"/>
      <c r="C391" s="39"/>
      <c r="D391" s="39"/>
      <c r="E391" s="40" t="s">
        <v>19</v>
      </c>
      <c r="F391" s="39"/>
      <c r="G391" s="156"/>
      <c r="H391" s="157" t="s">
        <v>12</v>
      </c>
      <c r="I391" s="43"/>
      <c r="J391" s="43"/>
      <c r="K391" s="44"/>
      <c r="L391" s="44">
        <f t="shared" ref="L391:N391" ca="1" si="197">L394+L397</f>
        <v>26000000</v>
      </c>
      <c r="M391" s="44">
        <f t="shared" ca="1" si="197"/>
        <v>26000000</v>
      </c>
      <c r="N391" s="44">
        <f t="shared" ca="1" si="197"/>
        <v>0</v>
      </c>
      <c r="O391" s="44">
        <f t="shared" ca="1" si="194"/>
        <v>0</v>
      </c>
      <c r="P391" s="44">
        <f t="shared" ca="1" si="195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0.25" customHeight="1">
      <c r="A392" s="158"/>
      <c r="B392" s="32"/>
      <c r="C392" s="159"/>
      <c r="D392" s="33" t="s">
        <v>20</v>
      </c>
      <c r="E392" s="32"/>
      <c r="F392" s="32"/>
      <c r="G392" s="34"/>
      <c r="H392" s="160" t="s">
        <v>12</v>
      </c>
      <c r="I392" s="161"/>
      <c r="J392" s="161"/>
      <c r="K392" s="162"/>
      <c r="L392" s="37">
        <f t="shared" ref="L392:N392" ca="1" si="198">L393+L394</f>
        <v>0</v>
      </c>
      <c r="M392" s="37">
        <f t="shared" ca="1" si="198"/>
        <v>0</v>
      </c>
      <c r="N392" s="37">
        <f t="shared" ca="1" si="198"/>
        <v>0</v>
      </c>
      <c r="O392" s="37">
        <f t="shared" ca="1" si="194"/>
        <v>0</v>
      </c>
      <c r="P392" s="37">
        <f t="shared" ca="1" si="195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20.25" hidden="1" customHeight="1">
      <c r="A393" s="155"/>
      <c r="B393" s="39"/>
      <c r="C393" s="163"/>
      <c r="D393" s="39"/>
      <c r="E393" s="40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44">
        <f t="shared" si="194"/>
        <v>0</v>
      </c>
      <c r="P393" s="44">
        <f t="shared" si="195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0.25" hidden="1" customHeight="1">
      <c r="A394" s="155"/>
      <c r="B394" s="39"/>
      <c r="C394" s="163"/>
      <c r="D394" s="39"/>
      <c r="E394" s="40" t="s">
        <v>37</v>
      </c>
      <c r="F394" s="39"/>
      <c r="G394" s="156"/>
      <c r="H394" s="164" t="s">
        <v>12</v>
      </c>
      <c r="I394" s="165"/>
      <c r="J394" s="165"/>
      <c r="K394" s="166"/>
      <c r="L394" s="44">
        <f ca="1">IFERROR(__xludf.DUMMYFUNCTION("IMPORTRANGE(""https://docs.google.com/spreadsheets/d/1kC41EOXpGBFOW658Fs3oD8beYlym0-zO54WY-2Qnp9I/edit?usp=share_link"",""กระบี่!L394"")
+IMPORTRANGE(""https://docs.google.com/spreadsheets/d/1FbzMZY_f3MDiEuK7RpCQKrilJ_kpX0Wm7QBZ1L7EjIU/edit?usp=share_link"&amp;""",""ชุมพร!L394"")+IMPORTRANGE(""https://docs.google.com/spreadsheets/d/1v5sN-00LrXuhBxw4dkh2GrG_z4l5oAqOdJRBCsUyMaM/edit?usp=share_link"",""ตรัง!L394"")+IMPORTRANGE(""https://docs.google.com/spreadsheets/d/1T5rRTzFc79aSIvqnzkZNvwPstq829QYz_xALlO1Z0s8/edi"&amp;"t?usp=share_link"",""นครศรีธรรมราช!L394"")+IMPORTRANGE(""https://docs.google.com/spreadsheets/d/1BeghqumK0IvCmRd2QOy6_afsZq7ZtAGrSnVJy2u7WmY/edit?usp=share_link"",""นราธิวาส!L394"")+IMPORTRANGE(""https://docs.google.com/spreadsheets/d/1IwnW3-jjRf74MCLW-6P"&amp;"iFwMUffRQXZwZA7YM609NmRc/edit?usp=share_link"",""ปัตตานี!L394"")+IMPORTRANGE(""https://docs.google.com/spreadsheets/d/1vl4QWbWdFruual5o_wdo6ZSqXZ_it806oja4CctTLKs/edit?usp=share_link"",""พังงา!L394"")+IMPORTRANGE(""https://docs.google.com/spreadsheets/d/1"&amp;"b6QssHQp2FoAPSMKHOy273KNzAomaIKhtdlvuZ_zDNE/edit?usp=share_link"",""พัทลุง!L394"")+IMPORTRANGE(""https://docs.google.com/spreadsheets/d/1o7UZe4_OqlqtLDHrj01Z2YFRSZDf1DMy1n3XViHaxRc/edit?usp=share_link"",""ภูเก็ต!L394"")+IMPORTRANGE(""https://docs.google.c"&amp;"om/spreadsheets/d/1ctPm1vUzcUCPuOj9-eoHUD85PqINFqUB0TjdSWmR5-c/edit?usp=share_link"",""ยะลา!L394"")+IMPORTRANGE(""https://docs.google.com/spreadsheets/d/1YiDIE7Klmt8osgdapRqYWNr7iPGFSsiJqq46S7PYRE0/edit?usp=share_link"",""ระนอง!L394"")+IMPORTRANGE(""https"&amp;"://docs.google.com/spreadsheets/d/16o_4B-V7AWw_6E93bSpXj_XxVv1oVQctk-B6z1dNEWU/edit?usp=share_link"",""สงขลา!L394"")+IMPORTRANGE(""https://docs.google.com/spreadsheets/d/16cywr71Fj4fA5OGRHsZh30ZG2gwJhMAQv69oVBzYHv0/edit?usp=share_link"",""สตูล!L394"")+IMP"&amp;"ORTRANGE(""https://docs.google.com/spreadsheets/d/1vO9Sws6kMtrVtyvrAJptINXjK8TFBoX9xLYOVK_C8bQ/edit?usp=share_link"",""สุราษฎร์ธานี!L394"")"),0)</f>
        <v>0</v>
      </c>
      <c r="M394" s="44">
        <f ca="1">IFERROR(__xludf.DUMMYFUNCTION("IMPORTRANGE(""https://docs.google.com/spreadsheets/d/1kC41EOXpGBFOW658Fs3oD8beYlym0-zO54WY-2Qnp9I/edit?usp=share_link"",""กระบี่!M394"")
+IMPORTRANGE(""https://docs.google.com/spreadsheets/d/1FbzMZY_f3MDiEuK7RpCQKrilJ_kpX0Wm7QBZ1L7EjIU/edit?usp=share_link"&amp;""",""ชุมพร!M394"")+IMPORTRANGE(""https://docs.google.com/spreadsheets/d/1v5sN-00LrXuhBxw4dkh2GrG_z4l5oAqOdJRBCsUyMaM/edit?usp=share_link"",""ตรัง!M394"")+IMPORTRANGE(""https://docs.google.com/spreadsheets/d/1T5rRTzFc79aSIvqnzkZNvwPstq829QYz_xALlO1Z0s8/edi"&amp;"t?usp=share_link"",""นครศรีธรรมราช!M394"")+IMPORTRANGE(""https://docs.google.com/spreadsheets/d/1BeghqumK0IvCmRd2QOy6_afsZq7ZtAGrSnVJy2u7WmY/edit?usp=share_link"",""นราธิวาส!M394"")+IMPORTRANGE(""https://docs.google.com/spreadsheets/d/1IwnW3-jjRf74MCLW-6P"&amp;"iFwMUffRQXZwZA7YM609NmRc/edit?usp=share_link"",""ปัตตานี!M394"")+IMPORTRANGE(""https://docs.google.com/spreadsheets/d/1vl4QWbWdFruual5o_wdo6ZSqXZ_it806oja4CctTLKs/edit?usp=share_link"",""พังงา!M394"")+IMPORTRANGE(""https://docs.google.com/spreadsheets/d/1"&amp;"b6QssHQp2FoAPSMKHOy273KNzAomaIKhtdlvuZ_zDNE/edit?usp=share_link"",""พัทลุง!M394"")+IMPORTRANGE(""https://docs.google.com/spreadsheets/d/1o7UZe4_OqlqtLDHrj01Z2YFRSZDf1DMy1n3XViHaxRc/edit?usp=share_link"",""ภูเก็ต!M394"")+IMPORTRANGE(""https://docs.google.c"&amp;"om/spreadsheets/d/1ctPm1vUzcUCPuOj9-eoHUD85PqINFqUB0TjdSWmR5-c/edit?usp=share_link"",""ยะลา!M394"")+IMPORTRANGE(""https://docs.google.com/spreadsheets/d/1YiDIE7Klmt8osgdapRqYWNr7iPGFSsiJqq46S7PYRE0/edit?usp=share_link"",""ระนอง!M394"")+IMPORTRANGE(""https"&amp;"://docs.google.com/spreadsheets/d/16o_4B-V7AWw_6E93bSpXj_XxVv1oVQctk-B6z1dNEWU/edit?usp=share_link"",""สงขลา!M394"")+IMPORTRANGE(""https://docs.google.com/spreadsheets/d/16cywr71Fj4fA5OGRHsZh30ZG2gwJhMAQv69oVBzYHv0/edit?usp=share_link"",""สตูล!M394"")+IMP"&amp;"ORTRANGE(""https://docs.google.com/spreadsheets/d/1vO9Sws6kMtrVtyvrAJptINXjK8TFBoX9xLYOVK_C8bQ/edit?usp=share_link"",""สุราษฎร์ธานี!M394"")"),0)</f>
        <v>0</v>
      </c>
      <c r="N394" s="44">
        <f ca="1">IFERROR(__xludf.DUMMYFUNCTION("IMPORTRANGE(""https://docs.google.com/spreadsheets/d/1kC41EOXpGBFOW658Fs3oD8beYlym0-zO54WY-2Qnp9I/edit?usp=share_link"",""กระบี่!N394"")
+IMPORTRANGE(""https://docs.google.com/spreadsheets/d/1FbzMZY_f3MDiEuK7RpCQKrilJ_kpX0Wm7QBZ1L7EjIU/edit?usp=share_link"&amp;""",""ชุมพร!N394"")+IMPORTRANGE(""https://docs.google.com/spreadsheets/d/1v5sN-00LrXuhBxw4dkh2GrG_z4l5oAqOdJRBCsUyMaM/edit?usp=share_link"",""ตรัง!N394"")+IMPORTRANGE(""https://docs.google.com/spreadsheets/d/1T5rRTzFc79aSIvqnzkZNvwPstq829QYz_xALlO1Z0s8/edi"&amp;"t?usp=share_link"",""นครศรีธรรมราช!N394"")+IMPORTRANGE(""https://docs.google.com/spreadsheets/d/1BeghqumK0IvCmRd2QOy6_afsZq7ZtAGrSnVJy2u7WmY/edit?usp=share_link"",""นราธิวาส!N394"")+IMPORTRANGE(""https://docs.google.com/spreadsheets/d/1IwnW3-jjRf74MCLW-6P"&amp;"iFwMUffRQXZwZA7YM609NmRc/edit?usp=share_link"",""ปัตตานี!N394"")+IMPORTRANGE(""https://docs.google.com/spreadsheets/d/1vl4QWbWdFruual5o_wdo6ZSqXZ_it806oja4CctTLKs/edit?usp=share_link"",""พังงา!N394"")+IMPORTRANGE(""https://docs.google.com/spreadsheets/d/1"&amp;"b6QssHQp2FoAPSMKHOy273KNzAomaIKhtdlvuZ_zDNE/edit?usp=share_link"",""พัทลุง!N394"")+IMPORTRANGE(""https://docs.google.com/spreadsheets/d/1o7UZe4_OqlqtLDHrj01Z2YFRSZDf1DMy1n3XViHaxRc/edit?usp=share_link"",""ภูเก็ต!N394"")+IMPORTRANGE(""https://docs.google.c"&amp;"om/spreadsheets/d/1ctPm1vUzcUCPuOj9-eoHUD85PqINFqUB0TjdSWmR5-c/edit?usp=share_link"",""ยะลา!N394"")+IMPORTRANGE(""https://docs.google.com/spreadsheets/d/1YiDIE7Klmt8osgdapRqYWNr7iPGFSsiJqq46S7PYRE0/edit?usp=share_link"",""ระนอง!N394"")+IMPORTRANGE(""https"&amp;"://docs.google.com/spreadsheets/d/16o_4B-V7AWw_6E93bSpXj_XxVv1oVQctk-B6z1dNEWU/edit?usp=share_link"",""สงขลา!N394"")+IMPORTRANGE(""https://docs.google.com/spreadsheets/d/16cywr71Fj4fA5OGRHsZh30ZG2gwJhMAQv69oVBzYHv0/edit?usp=share_link"",""สตูล!N394"")+IMP"&amp;"ORTRANGE(""https://docs.google.com/spreadsheets/d/1vO9Sws6kMtrVtyvrAJptINXjK8TFBoX9xLYOVK_C8bQ/edit?usp=share_link"",""สุราษฎร์ธานี!N394"")"),0)</f>
        <v>0</v>
      </c>
      <c r="O394" s="44">
        <f t="shared" ca="1" si="194"/>
        <v>0</v>
      </c>
      <c r="P394" s="44">
        <f t="shared" ca="1" si="195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0.25" customHeight="1">
      <c r="A395" s="158"/>
      <c r="B395" s="32"/>
      <c r="C395" s="159"/>
      <c r="D395" s="33" t="s">
        <v>21</v>
      </c>
      <c r="E395" s="32"/>
      <c r="F395" s="32"/>
      <c r="G395" s="34"/>
      <c r="H395" s="167" t="s">
        <v>12</v>
      </c>
      <c r="I395" s="161"/>
      <c r="J395" s="161"/>
      <c r="K395" s="162"/>
      <c r="L395" s="37">
        <f t="shared" ref="L395:N395" ca="1" si="199">L396+L397</f>
        <v>26000000</v>
      </c>
      <c r="M395" s="37">
        <f t="shared" ca="1" si="199"/>
        <v>26000000</v>
      </c>
      <c r="N395" s="37">
        <f t="shared" ca="1" si="199"/>
        <v>0</v>
      </c>
      <c r="O395" s="37">
        <f t="shared" ca="1" si="194"/>
        <v>0</v>
      </c>
      <c r="P395" s="37">
        <f t="shared" ca="1" si="195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20.25" hidden="1" customHeight="1">
      <c r="A396" s="155"/>
      <c r="B396" s="39"/>
      <c r="C396" s="163"/>
      <c r="D396" s="39"/>
      <c r="E396" s="40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44">
        <f t="shared" si="194"/>
        <v>0</v>
      </c>
      <c r="P396" s="44">
        <f t="shared" si="195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0.25" hidden="1" customHeight="1">
      <c r="A397" s="155"/>
      <c r="B397" s="39"/>
      <c r="C397" s="163"/>
      <c r="D397" s="39"/>
      <c r="E397" s="40" t="s">
        <v>19</v>
      </c>
      <c r="F397" s="39"/>
      <c r="G397" s="156"/>
      <c r="H397" s="168" t="s">
        <v>12</v>
      </c>
      <c r="I397" s="165"/>
      <c r="J397" s="165"/>
      <c r="K397" s="166"/>
      <c r="L397" s="44">
        <f ca="1">IFERROR(__xludf.DUMMYFUNCTION("IMPORTRANGE(""https://docs.google.com/spreadsheets/d/1kC41EOXpGBFOW658Fs3oD8beYlym0-zO54WY-2Qnp9I/edit?usp=share_link"",""กระบี่!L397"")
+IMPORTRANGE(""https://docs.google.com/spreadsheets/d/1FbzMZY_f3MDiEuK7RpCQKrilJ_kpX0Wm7QBZ1L7EjIU/edit?usp=share_link"&amp;""",""ชุมพร!L397"")+IMPORTRANGE(""https://docs.google.com/spreadsheets/d/1v5sN-00LrXuhBxw4dkh2GrG_z4l5oAqOdJRBCsUyMaM/edit?usp=share_link"",""ตรัง!L397"")+IMPORTRANGE(""https://docs.google.com/spreadsheets/d/1T5rRTzFc79aSIvqnzkZNvwPstq829QYz_xALlO1Z0s8/edi"&amp;"t?usp=share_link"",""นครศรีธรรมราช!L397"")+IMPORTRANGE(""https://docs.google.com/spreadsheets/d/1BeghqumK0IvCmRd2QOy6_afsZq7ZtAGrSnVJy2u7WmY/edit?usp=share_link"",""นราธิวาส!L397"")+IMPORTRANGE(""https://docs.google.com/spreadsheets/d/1IwnW3-jjRf74MCLW-6P"&amp;"iFwMUffRQXZwZA7YM609NmRc/edit?usp=share_link"",""ปัตตานี!L397"")+IMPORTRANGE(""https://docs.google.com/spreadsheets/d/1vl4QWbWdFruual5o_wdo6ZSqXZ_it806oja4CctTLKs/edit?usp=share_link"",""พังงา!L397"")+IMPORTRANGE(""https://docs.google.com/spreadsheets/d/1"&amp;"b6QssHQp2FoAPSMKHOy273KNzAomaIKhtdlvuZ_zDNE/edit?usp=share_link"",""พัทลุง!L397"")+IMPORTRANGE(""https://docs.google.com/spreadsheets/d/1o7UZe4_OqlqtLDHrj01Z2YFRSZDf1DMy1n3XViHaxRc/edit?usp=share_link"",""ภูเก็ต!L397"")+IMPORTRANGE(""https://docs.google.c"&amp;"om/spreadsheets/d/1ctPm1vUzcUCPuOj9-eoHUD85PqINFqUB0TjdSWmR5-c/edit?usp=share_link"",""ยะลา!L397"")+IMPORTRANGE(""https://docs.google.com/spreadsheets/d/1YiDIE7Klmt8osgdapRqYWNr7iPGFSsiJqq46S7PYRE0/edit?usp=share_link"",""ระนอง!L397"")+IMPORTRANGE(""https"&amp;"://docs.google.com/spreadsheets/d/16o_4B-V7AWw_6E93bSpXj_XxVv1oVQctk-B6z1dNEWU/edit?usp=share_link"",""สงขลา!L397"")+IMPORTRANGE(""https://docs.google.com/spreadsheets/d/16cywr71Fj4fA5OGRHsZh30ZG2gwJhMAQv69oVBzYHv0/edit?usp=share_link"",""สตูล!L397"")+IMP"&amp;"ORTRANGE(""https://docs.google.com/spreadsheets/d/1vO9Sws6kMtrVtyvrAJptINXjK8TFBoX9xLYOVK_C8bQ/edit?usp=share_link"",""สุราษฎร์ธานี!L397"")"),26000000)</f>
        <v>26000000</v>
      </c>
      <c r="M397" s="44">
        <f ca="1">IFERROR(__xludf.DUMMYFUNCTION("IMPORTRANGE(""https://docs.google.com/spreadsheets/d/1kC41EOXpGBFOW658Fs3oD8beYlym0-zO54WY-2Qnp9I/edit?usp=share_link"",""กระบี่!M397"")
+IMPORTRANGE(""https://docs.google.com/spreadsheets/d/1FbzMZY_f3MDiEuK7RpCQKrilJ_kpX0Wm7QBZ1L7EjIU/edit?usp=share_link"&amp;""",""ชุมพร!M397"")+IMPORTRANGE(""https://docs.google.com/spreadsheets/d/1v5sN-00LrXuhBxw4dkh2GrG_z4l5oAqOdJRBCsUyMaM/edit?usp=share_link"",""ตรัง!M397"")+IMPORTRANGE(""https://docs.google.com/spreadsheets/d/1T5rRTzFc79aSIvqnzkZNvwPstq829QYz_xALlO1Z0s8/edi"&amp;"t?usp=share_link"",""นครศรีธรรมราช!M397"")+IMPORTRANGE(""https://docs.google.com/spreadsheets/d/1BeghqumK0IvCmRd2QOy6_afsZq7ZtAGrSnVJy2u7WmY/edit?usp=share_link"",""นราธิวาส!M397"")+IMPORTRANGE(""https://docs.google.com/spreadsheets/d/1IwnW3-jjRf74MCLW-6P"&amp;"iFwMUffRQXZwZA7YM609NmRc/edit?usp=share_link"",""ปัตตานี!M397"")+IMPORTRANGE(""https://docs.google.com/spreadsheets/d/1vl4QWbWdFruual5o_wdo6ZSqXZ_it806oja4CctTLKs/edit?usp=share_link"",""พังงา!M397"")+IMPORTRANGE(""https://docs.google.com/spreadsheets/d/1"&amp;"b6QssHQp2FoAPSMKHOy273KNzAomaIKhtdlvuZ_zDNE/edit?usp=share_link"",""พัทลุง!M397"")+IMPORTRANGE(""https://docs.google.com/spreadsheets/d/1o7UZe4_OqlqtLDHrj01Z2YFRSZDf1DMy1n3XViHaxRc/edit?usp=share_link"",""ภูเก็ต!M397"")+IMPORTRANGE(""https://docs.google.c"&amp;"om/spreadsheets/d/1ctPm1vUzcUCPuOj9-eoHUD85PqINFqUB0TjdSWmR5-c/edit?usp=share_link"",""ยะลา!M397"")+IMPORTRANGE(""https://docs.google.com/spreadsheets/d/1YiDIE7Klmt8osgdapRqYWNr7iPGFSsiJqq46S7PYRE0/edit?usp=share_link"",""ระนอง!M397"")+IMPORTRANGE(""https"&amp;"://docs.google.com/spreadsheets/d/16o_4B-V7AWw_6E93bSpXj_XxVv1oVQctk-B6z1dNEWU/edit?usp=share_link"",""สงขลา!M397"")+IMPORTRANGE(""https://docs.google.com/spreadsheets/d/16cywr71Fj4fA5OGRHsZh30ZG2gwJhMAQv69oVBzYHv0/edit?usp=share_link"",""สตูล!M397"")+IMP"&amp;"ORTRANGE(""https://docs.google.com/spreadsheets/d/1vO9Sws6kMtrVtyvrAJptINXjK8TFBoX9xLYOVK_C8bQ/edit?usp=share_link"",""สุราษฎร์ธานี!M397"")"),26000000)</f>
        <v>26000000</v>
      </c>
      <c r="N397" s="44">
        <f ca="1">IFERROR(__xludf.DUMMYFUNCTION("IMPORTRANGE(""https://docs.google.com/spreadsheets/d/1kC41EOXpGBFOW658Fs3oD8beYlym0-zO54WY-2Qnp9I/edit?usp=share_link"",""กระบี่!N397"")
+IMPORTRANGE(""https://docs.google.com/spreadsheets/d/1FbzMZY_f3MDiEuK7RpCQKrilJ_kpX0Wm7QBZ1L7EjIU/edit?usp=share_link"&amp;""",""ชุมพร!N397"")+IMPORTRANGE(""https://docs.google.com/spreadsheets/d/1v5sN-00LrXuhBxw4dkh2GrG_z4l5oAqOdJRBCsUyMaM/edit?usp=share_link"",""ตรัง!N397"")+IMPORTRANGE(""https://docs.google.com/spreadsheets/d/1T5rRTzFc79aSIvqnzkZNvwPstq829QYz_xALlO1Z0s8/edi"&amp;"t?usp=share_link"",""นครศรีธรรมราช!N397"")+IMPORTRANGE(""https://docs.google.com/spreadsheets/d/1BeghqumK0IvCmRd2QOy6_afsZq7ZtAGrSnVJy2u7WmY/edit?usp=share_link"",""นราธิวาส!N397"")+IMPORTRANGE(""https://docs.google.com/spreadsheets/d/1IwnW3-jjRf74MCLW-6P"&amp;"iFwMUffRQXZwZA7YM609NmRc/edit?usp=share_link"",""ปัตตานี!N397"")+IMPORTRANGE(""https://docs.google.com/spreadsheets/d/1vl4QWbWdFruual5o_wdo6ZSqXZ_it806oja4CctTLKs/edit?usp=share_link"",""พังงา!N397"")+IMPORTRANGE(""https://docs.google.com/spreadsheets/d/1"&amp;"b6QssHQp2FoAPSMKHOy273KNzAomaIKhtdlvuZ_zDNE/edit?usp=share_link"",""พัทลุง!N397"")+IMPORTRANGE(""https://docs.google.com/spreadsheets/d/1o7UZe4_OqlqtLDHrj01Z2YFRSZDf1DMy1n3XViHaxRc/edit?usp=share_link"",""ภูเก็ต!N397"")+IMPORTRANGE(""https://docs.google.c"&amp;"om/spreadsheets/d/1ctPm1vUzcUCPuOj9-eoHUD85PqINFqUB0TjdSWmR5-c/edit?usp=share_link"",""ยะลา!N397"")+IMPORTRANGE(""https://docs.google.com/spreadsheets/d/1YiDIE7Klmt8osgdapRqYWNr7iPGFSsiJqq46S7PYRE0/edit?usp=share_link"",""ระนอง!N397"")+IMPORTRANGE(""https"&amp;"://docs.google.com/spreadsheets/d/16o_4B-V7AWw_6E93bSpXj_XxVv1oVQctk-B6z1dNEWU/edit?usp=share_link"",""สงขลา!N397"")+IMPORTRANGE(""https://docs.google.com/spreadsheets/d/16cywr71Fj4fA5OGRHsZh30ZG2gwJhMAQv69oVBzYHv0/edit?usp=share_link"",""สตูล!N397"")+IMP"&amp;"ORTRANGE(""https://docs.google.com/spreadsheets/d/1vO9Sws6kMtrVtyvrAJptINXjK8TFBoX9xLYOVK_C8bQ/edit?usp=share_link"",""สุราษฎร์ธานี!N397"")"),0)</f>
        <v>0</v>
      </c>
      <c r="O397" s="44">
        <f t="shared" ca="1" si="194"/>
        <v>0</v>
      </c>
      <c r="P397" s="44">
        <f t="shared" ca="1" si="195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0.25" customHeight="1">
      <c r="A398" s="169"/>
      <c r="B398" s="170"/>
      <c r="C398" s="163" t="s">
        <v>16</v>
      </c>
      <c r="D398" s="171" t="s">
        <v>38</v>
      </c>
      <c r="E398" s="172"/>
      <c r="F398" s="172"/>
      <c r="G398" s="173"/>
      <c r="H398" s="174"/>
      <c r="I398" s="161"/>
      <c r="J398" s="36"/>
      <c r="K398" s="37"/>
      <c r="L398" s="37"/>
      <c r="M398" s="37"/>
      <c r="N398" s="37"/>
      <c r="O398" s="162"/>
      <c r="P398" s="162"/>
    </row>
    <row r="399" spans="1:26" ht="20.25" customHeight="1">
      <c r="A399" s="529"/>
      <c r="B399" s="147"/>
      <c r="C399" s="530"/>
      <c r="D399" s="531" t="s">
        <v>174</v>
      </c>
      <c r="E399" s="415"/>
      <c r="F399" s="147"/>
      <c r="G399" s="150"/>
      <c r="H399" s="532" t="s">
        <v>9</v>
      </c>
      <c r="I399" s="269">
        <f ca="1">IFERROR(__xludf.DUMMYFUNCTION("IMPORTRANGE(""https://docs.google.com/spreadsheets/d/1kC41EOXpGBFOW658Fs3oD8beYlym0-zO54WY-2Qnp9I/edit?usp=share_link"",""กระบี่!I399"")
+IMPORTRANGE(""https://docs.google.com/spreadsheets/d/1FbzMZY_f3MDiEuK7RpCQKrilJ_kpX0Wm7QBZ1L7EjIU/edit?usp=share_link"&amp;""",""ชุมพร!I399"")+IMPORTRANGE(""https://docs.google.com/spreadsheets/d/1v5sN-00LrXuhBxw4dkh2GrG_z4l5oAqOdJRBCsUyMaM/edit?usp=share_link"",""ตรัง!I399"")+IMPORTRANGE(""https://docs.google.com/spreadsheets/d/1T5rRTzFc79aSIvqnzkZNvwPstq829QYz_xALlO1Z0s8/edi"&amp;"t?usp=share_link"",""นครศรีธรรมราช!I399"")+IMPORTRANGE(""https://docs.google.com/spreadsheets/d/1BeghqumK0IvCmRd2QOy6_afsZq7ZtAGrSnVJy2u7WmY/edit?usp=share_link"",""นราธิวาส!I399"")+IMPORTRANGE(""https://docs.google.com/spreadsheets/d/1IwnW3-jjRf74MCLW-6P"&amp;"iFwMUffRQXZwZA7YM609NmRc/edit?usp=share_link"",""ปัตตานี!I399"")+IMPORTRANGE(""https://docs.google.com/spreadsheets/d/1vl4QWbWdFruual5o_wdo6ZSqXZ_it806oja4CctTLKs/edit?usp=share_link"",""พังงา!I399"")+IMPORTRANGE(""https://docs.google.com/spreadsheets/d/1"&amp;"b6QssHQp2FoAPSMKHOy273KNzAomaIKhtdlvuZ_zDNE/edit?usp=share_link"",""พัทลุง!I399"")+IMPORTRANGE(""https://docs.google.com/spreadsheets/d/1o7UZe4_OqlqtLDHrj01Z2YFRSZDf1DMy1n3XViHaxRc/edit?usp=share_link"",""ภูเก็ต!I399"")+IMPORTRANGE(""https://docs.google.c"&amp;"om/spreadsheets/d/1ctPm1vUzcUCPuOj9-eoHUD85PqINFqUB0TjdSWmR5-c/edit?usp=share_link"",""ยะลา!I399"")+IMPORTRANGE(""https://docs.google.com/spreadsheets/d/1YiDIE7Klmt8osgdapRqYWNr7iPGFSsiJqq46S7PYRE0/edit?usp=share_link"",""ระนอง!I399"")+IMPORTRANGE(""https"&amp;"://docs.google.com/spreadsheets/d/16o_4B-V7AWw_6E93bSpXj_XxVv1oVQctk-B6z1dNEWU/edit?usp=share_link"",""สงขลา!I399"")+IMPORTRANGE(""https://docs.google.com/spreadsheets/d/16cywr71Fj4fA5OGRHsZh30ZG2gwJhMAQv69oVBzYHv0/edit?usp=share_link"",""สตูล!I399"")+IMP"&amp;"ORTRANGE(""https://docs.google.com/spreadsheets/d/1vO9Sws6kMtrVtyvrAJptINXjK8TFBoX9xLYOVK_C8bQ/edit?usp=share_link"",""สุราษฎร์ธานี!I399"")"),0)</f>
        <v>0</v>
      </c>
      <c r="J399" s="182">
        <f ca="1">IFERROR(__xludf.DUMMYFUNCTION("IMPORTRANGE(""https://docs.google.com/spreadsheets/d/1kC41EOXpGBFOW658Fs3oD8beYlym0-zO54WY-2Qnp9I/edit?usp=share_link"",""กระบี่!J399"")
+IMPORTRANGE(""https://docs.google.com/spreadsheets/d/1FbzMZY_f3MDiEuK7RpCQKrilJ_kpX0Wm7QBZ1L7EjIU/edit?usp=share_link"&amp;""",""ชุมพร!J399"")+IMPORTRANGE(""https://docs.google.com/spreadsheets/d/1v5sN-00LrXuhBxw4dkh2GrG_z4l5oAqOdJRBCsUyMaM/edit?usp=share_link"",""ตรัง!J399"")+IMPORTRANGE(""https://docs.google.com/spreadsheets/d/1T5rRTzFc79aSIvqnzkZNvwPstq829QYz_xALlO1Z0s8/edi"&amp;"t?usp=share_link"",""นครศรีธรรมราช!J399"")+IMPORTRANGE(""https://docs.google.com/spreadsheets/d/1BeghqumK0IvCmRd2QOy6_afsZq7ZtAGrSnVJy2u7WmY/edit?usp=share_link"",""นราธิวาส!J399"")+IMPORTRANGE(""https://docs.google.com/spreadsheets/d/1IwnW3-jjRf74MCLW-6P"&amp;"iFwMUffRQXZwZA7YM609NmRc/edit?usp=share_link"",""ปัตตานี!J399"")+IMPORTRANGE(""https://docs.google.com/spreadsheets/d/1vl4QWbWdFruual5o_wdo6ZSqXZ_it806oja4CctTLKs/edit?usp=share_link"",""พังงา!J399"")+IMPORTRANGE(""https://docs.google.com/spreadsheets/d/1"&amp;"b6QssHQp2FoAPSMKHOy273KNzAomaIKhtdlvuZ_zDNE/edit?usp=share_link"",""พัทลุง!J399"")+IMPORTRANGE(""https://docs.google.com/spreadsheets/d/1o7UZe4_OqlqtLDHrj01Z2YFRSZDf1DMy1n3XViHaxRc/edit?usp=share_link"",""ภูเก็ต!J399"")+IMPORTRANGE(""https://docs.google.c"&amp;"om/spreadsheets/d/1ctPm1vUzcUCPuOj9-eoHUD85PqINFqUB0TjdSWmR5-c/edit?usp=share_link"",""ยะลา!J399"")+IMPORTRANGE(""https://docs.google.com/spreadsheets/d/1YiDIE7Klmt8osgdapRqYWNr7iPGFSsiJqq46S7PYRE0/edit?usp=share_link"",""ระนอง!J399"")+IMPORTRANGE(""https"&amp;"://docs.google.com/spreadsheets/d/16o_4B-V7AWw_6E93bSpXj_XxVv1oVQctk-B6z1dNEWU/edit?usp=share_link"",""สงขลา!J399"")+IMPORTRANGE(""https://docs.google.com/spreadsheets/d/16cywr71Fj4fA5OGRHsZh30ZG2gwJhMAQv69oVBzYHv0/edit?usp=share_link"",""สตูล!J399"")+IMP"&amp;"ORTRANGE(""https://docs.google.com/spreadsheets/d/1vO9Sws6kMtrVtyvrAJptINXjK8TFBoX9xLYOVK_C8bQ/edit?usp=share_link"",""สุราษฎร์ธานี!J399"")"),0)</f>
        <v>0</v>
      </c>
      <c r="K399" s="37">
        <f t="shared" ref="K399:K401" ca="1" si="200">IF(I399&gt;0,J399*100/I399,0)</f>
        <v>0</v>
      </c>
      <c r="L399" s="533"/>
      <c r="M399" s="533"/>
      <c r="N399" s="533"/>
      <c r="O399" s="533"/>
      <c r="P399" s="533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20.25" customHeight="1">
      <c r="A400" s="283"/>
      <c r="B400" s="32"/>
      <c r="C400" s="280"/>
      <c r="D400" s="447" t="s">
        <v>175</v>
      </c>
      <c r="E400" s="170"/>
      <c r="F400" s="32"/>
      <c r="G400" s="34"/>
      <c r="H400" s="276" t="s">
        <v>66</v>
      </c>
      <c r="I400" s="269">
        <f ca="1">IFERROR(__xludf.DUMMYFUNCTION("IMPORTRANGE(""https://docs.google.com/spreadsheets/d/1kC41EOXpGBFOW658Fs3oD8beYlym0-zO54WY-2Qnp9I/edit?usp=share_link"",""กระบี่!I400"")
+IMPORTRANGE(""https://docs.google.com/spreadsheets/d/1FbzMZY_f3MDiEuK7RpCQKrilJ_kpX0Wm7QBZ1L7EjIU/edit?usp=share_link"&amp;""",""ชุมพร!I400"")+IMPORTRANGE(""https://docs.google.com/spreadsheets/d/1v5sN-00LrXuhBxw4dkh2GrG_z4l5oAqOdJRBCsUyMaM/edit?usp=share_link"",""ตรัง!I400"")+IMPORTRANGE(""https://docs.google.com/spreadsheets/d/1T5rRTzFc79aSIvqnzkZNvwPstq829QYz_xALlO1Z0s8/edi"&amp;"t?usp=share_link"",""นครศรีธรรมราช!I400"")+IMPORTRANGE(""https://docs.google.com/spreadsheets/d/1BeghqumK0IvCmRd2QOy6_afsZq7ZtAGrSnVJy2u7WmY/edit?usp=share_link"",""นราธิวาส!I400"")+IMPORTRANGE(""https://docs.google.com/spreadsheets/d/1IwnW3-jjRf74MCLW-6P"&amp;"iFwMUffRQXZwZA7YM609NmRc/edit?usp=share_link"",""ปัตตานี!I400"")+IMPORTRANGE(""https://docs.google.com/spreadsheets/d/1vl4QWbWdFruual5o_wdo6ZSqXZ_it806oja4CctTLKs/edit?usp=share_link"",""พังงา!I400"")+IMPORTRANGE(""https://docs.google.com/spreadsheets/d/1"&amp;"b6QssHQp2FoAPSMKHOy273KNzAomaIKhtdlvuZ_zDNE/edit?usp=share_link"",""พัทลุง!I400"")+IMPORTRANGE(""https://docs.google.com/spreadsheets/d/1o7UZe4_OqlqtLDHrj01Z2YFRSZDf1DMy1n3XViHaxRc/edit?usp=share_link"",""ภูเก็ต!I400"")+IMPORTRANGE(""https://docs.google.c"&amp;"om/spreadsheets/d/1ctPm1vUzcUCPuOj9-eoHUD85PqINFqUB0TjdSWmR5-c/edit?usp=share_link"",""ยะลา!I400"")+IMPORTRANGE(""https://docs.google.com/spreadsheets/d/1YiDIE7Klmt8osgdapRqYWNr7iPGFSsiJqq46S7PYRE0/edit?usp=share_link"",""ระนอง!I400"")+IMPORTRANGE(""https"&amp;"://docs.google.com/spreadsheets/d/16o_4B-V7AWw_6E93bSpXj_XxVv1oVQctk-B6z1dNEWU/edit?usp=share_link"",""สงขลา!I400"")+IMPORTRANGE(""https://docs.google.com/spreadsheets/d/16cywr71Fj4fA5OGRHsZh30ZG2gwJhMAQv69oVBzYHv0/edit?usp=share_link"",""สตูล!I400"")+IMP"&amp;"ORTRANGE(""https://docs.google.com/spreadsheets/d/1vO9Sws6kMtrVtyvrAJptINXjK8TFBoX9xLYOVK_C8bQ/edit?usp=share_link"",""สุราษฎร์ธานี!I400"")"),0)</f>
        <v>0</v>
      </c>
      <c r="J400" s="182">
        <f ca="1">IFERROR(__xludf.DUMMYFUNCTION("IMPORTRANGE(""https://docs.google.com/spreadsheets/d/1kC41EOXpGBFOW658Fs3oD8beYlym0-zO54WY-2Qnp9I/edit?usp=share_link"",""กระบี่!J400"")
+IMPORTRANGE(""https://docs.google.com/spreadsheets/d/1FbzMZY_f3MDiEuK7RpCQKrilJ_kpX0Wm7QBZ1L7EjIU/edit?usp=share_link"&amp;""",""ชุมพร!J400"")+IMPORTRANGE(""https://docs.google.com/spreadsheets/d/1v5sN-00LrXuhBxw4dkh2GrG_z4l5oAqOdJRBCsUyMaM/edit?usp=share_link"",""ตรัง!J400"")+IMPORTRANGE(""https://docs.google.com/spreadsheets/d/1T5rRTzFc79aSIvqnzkZNvwPstq829QYz_xALlO1Z0s8/edi"&amp;"t?usp=share_link"",""นครศรีธรรมราช!J400"")+IMPORTRANGE(""https://docs.google.com/spreadsheets/d/1BeghqumK0IvCmRd2QOy6_afsZq7ZtAGrSnVJy2u7WmY/edit?usp=share_link"",""นราธิวาส!J400"")+IMPORTRANGE(""https://docs.google.com/spreadsheets/d/1IwnW3-jjRf74MCLW-6P"&amp;"iFwMUffRQXZwZA7YM609NmRc/edit?usp=share_link"",""ปัตตานี!J400"")+IMPORTRANGE(""https://docs.google.com/spreadsheets/d/1vl4QWbWdFruual5o_wdo6ZSqXZ_it806oja4CctTLKs/edit?usp=share_link"",""พังงา!J400"")+IMPORTRANGE(""https://docs.google.com/spreadsheets/d/1"&amp;"b6QssHQp2FoAPSMKHOy273KNzAomaIKhtdlvuZ_zDNE/edit?usp=share_link"",""พัทลุง!J400"")+IMPORTRANGE(""https://docs.google.com/spreadsheets/d/1o7UZe4_OqlqtLDHrj01Z2YFRSZDf1DMy1n3XViHaxRc/edit?usp=share_link"",""ภูเก็ต!J400"")+IMPORTRANGE(""https://docs.google.c"&amp;"om/spreadsheets/d/1ctPm1vUzcUCPuOj9-eoHUD85PqINFqUB0TjdSWmR5-c/edit?usp=share_link"",""ยะลา!J400"")+IMPORTRANGE(""https://docs.google.com/spreadsheets/d/1YiDIE7Klmt8osgdapRqYWNr7iPGFSsiJqq46S7PYRE0/edit?usp=share_link"",""ระนอง!J400"")+IMPORTRANGE(""https"&amp;"://docs.google.com/spreadsheets/d/16o_4B-V7AWw_6E93bSpXj_XxVv1oVQctk-B6z1dNEWU/edit?usp=share_link"",""สงขลา!J400"")+IMPORTRANGE(""https://docs.google.com/spreadsheets/d/16cywr71Fj4fA5OGRHsZh30ZG2gwJhMAQv69oVBzYHv0/edit?usp=share_link"",""สตูล!J400"")+IMP"&amp;"ORTRANGE(""https://docs.google.com/spreadsheets/d/1vO9Sws6kMtrVtyvrAJptINXjK8TFBoX9xLYOVK_C8bQ/edit?usp=share_link"",""สุราษฎร์ธานี!J400"")"),0)</f>
        <v>0</v>
      </c>
      <c r="K400" s="37">
        <f t="shared" ca="1" si="200"/>
        <v>0</v>
      </c>
      <c r="L400" s="37"/>
      <c r="M400" s="37"/>
      <c r="N400" s="37"/>
      <c r="O400" s="37"/>
      <c r="P400" s="37"/>
    </row>
    <row r="401" spans="1:26" ht="20.25" customHeight="1">
      <c r="A401" s="520"/>
      <c r="B401" s="521" t="s">
        <v>176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ca="1" si="201">I412</f>
        <v>15</v>
      </c>
      <c r="J401" s="526">
        <f t="shared" ca="1" si="201"/>
        <v>14</v>
      </c>
      <c r="K401" s="527">
        <f t="shared" ca="1" si="200"/>
        <v>93.333333333333329</v>
      </c>
      <c r="L401" s="528"/>
      <c r="M401" s="528"/>
      <c r="N401" s="528"/>
      <c r="O401" s="528"/>
      <c r="P401" s="528"/>
    </row>
    <row r="402" spans="1:26" ht="20.25" customHeight="1">
      <c r="A402" s="146"/>
      <c r="B402" s="147"/>
      <c r="C402" s="148" t="s">
        <v>16</v>
      </c>
      <c r="D402" s="149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202">L403+L404</f>
        <v>34000000</v>
      </c>
      <c r="M402" s="154">
        <f t="shared" ca="1" si="202"/>
        <v>34000000</v>
      </c>
      <c r="N402" s="154">
        <f t="shared" ca="1" si="202"/>
        <v>33405684</v>
      </c>
      <c r="O402" s="154">
        <f t="shared" ref="O402:O410" ca="1" si="203">IF(L402&gt;0,N402*100/L402,0)</f>
        <v>98.252011764705884</v>
      </c>
      <c r="P402" s="154">
        <f t="shared" ref="P402:P410" ca="1" si="204">IF(M402&gt;0,N402*100/M402,0)</f>
        <v>98.252011764705884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20.25" hidden="1" customHeight="1">
      <c r="A403" s="155"/>
      <c r="B403" s="39"/>
      <c r="C403" s="39"/>
      <c r="D403" s="39"/>
      <c r="E403" s="40" t="s">
        <v>18</v>
      </c>
      <c r="F403" s="39"/>
      <c r="G403" s="156"/>
      <c r="H403" s="157" t="s">
        <v>12</v>
      </c>
      <c r="I403" s="43"/>
      <c r="J403" s="43"/>
      <c r="K403" s="44"/>
      <c r="L403" s="44">
        <f t="shared" ref="L403:N403" si="205">L406+L409</f>
        <v>0</v>
      </c>
      <c r="M403" s="44">
        <f t="shared" si="205"/>
        <v>0</v>
      </c>
      <c r="N403" s="44">
        <f t="shared" si="205"/>
        <v>0</v>
      </c>
      <c r="O403" s="44">
        <f t="shared" si="203"/>
        <v>0</v>
      </c>
      <c r="P403" s="44">
        <f t="shared" si="204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0.25" hidden="1" customHeight="1">
      <c r="A404" s="155"/>
      <c r="B404" s="39"/>
      <c r="C404" s="39"/>
      <c r="D404" s="39"/>
      <c r="E404" s="40" t="s">
        <v>19</v>
      </c>
      <c r="F404" s="39"/>
      <c r="G404" s="156"/>
      <c r="H404" s="157" t="s">
        <v>12</v>
      </c>
      <c r="I404" s="43"/>
      <c r="J404" s="43"/>
      <c r="K404" s="44"/>
      <c r="L404" s="44">
        <f t="shared" ref="L404:N404" ca="1" si="206">L407+L410</f>
        <v>34000000</v>
      </c>
      <c r="M404" s="44">
        <f t="shared" ca="1" si="206"/>
        <v>34000000</v>
      </c>
      <c r="N404" s="44">
        <f t="shared" ca="1" si="206"/>
        <v>33405684</v>
      </c>
      <c r="O404" s="44">
        <f t="shared" ca="1" si="203"/>
        <v>98.252011764705884</v>
      </c>
      <c r="P404" s="44">
        <f t="shared" ca="1" si="204"/>
        <v>98.252011764705884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0.25" customHeight="1">
      <c r="A405" s="158"/>
      <c r="B405" s="32"/>
      <c r="C405" s="159"/>
      <c r="D405" s="33" t="s">
        <v>20</v>
      </c>
      <c r="E405" s="32"/>
      <c r="F405" s="32"/>
      <c r="G405" s="34"/>
      <c r="H405" s="160" t="s">
        <v>12</v>
      </c>
      <c r="I405" s="161"/>
      <c r="J405" s="161"/>
      <c r="K405" s="162"/>
      <c r="L405" s="37">
        <f t="shared" ref="L405:N405" ca="1" si="207">L406+L407</f>
        <v>0</v>
      </c>
      <c r="M405" s="37">
        <f t="shared" ca="1" si="207"/>
        <v>0</v>
      </c>
      <c r="N405" s="37">
        <f t="shared" ca="1" si="207"/>
        <v>0</v>
      </c>
      <c r="O405" s="37">
        <f t="shared" ca="1" si="203"/>
        <v>0</v>
      </c>
      <c r="P405" s="37">
        <f t="shared" ca="1" si="204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20.25" hidden="1" customHeight="1">
      <c r="A406" s="155"/>
      <c r="B406" s="39"/>
      <c r="C406" s="163"/>
      <c r="D406" s="39"/>
      <c r="E406" s="40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44">
        <f t="shared" si="203"/>
        <v>0</v>
      </c>
      <c r="P406" s="44">
        <f t="shared" si="204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0.25" hidden="1" customHeight="1">
      <c r="A407" s="155"/>
      <c r="B407" s="39"/>
      <c r="C407" s="163"/>
      <c r="D407" s="39"/>
      <c r="E407" s="40" t="s">
        <v>37</v>
      </c>
      <c r="F407" s="39"/>
      <c r="G407" s="156"/>
      <c r="H407" s="164" t="s">
        <v>12</v>
      </c>
      <c r="I407" s="165"/>
      <c r="J407" s="165"/>
      <c r="K407" s="166"/>
      <c r="L407" s="44">
        <f ca="1">IFERROR(__xludf.DUMMYFUNCTION("IMPORTRANGE(""https://docs.google.com/spreadsheets/d/1kC41EOXpGBFOW658Fs3oD8beYlym0-zO54WY-2Qnp9I/edit?usp=share_link"",""กระบี่!L407"")
+IMPORTRANGE(""https://docs.google.com/spreadsheets/d/1FbzMZY_f3MDiEuK7RpCQKrilJ_kpX0Wm7QBZ1L7EjIU/edit?usp=share_link"&amp;""",""ชุมพร!L407"")+IMPORTRANGE(""https://docs.google.com/spreadsheets/d/1v5sN-00LrXuhBxw4dkh2GrG_z4l5oAqOdJRBCsUyMaM/edit?usp=share_link"",""ตรัง!L407"")+IMPORTRANGE(""https://docs.google.com/spreadsheets/d/1T5rRTzFc79aSIvqnzkZNvwPstq829QYz_xALlO1Z0s8/edi"&amp;"t?usp=share_link"",""นครศรีธรรมราช!L407"")+IMPORTRANGE(""https://docs.google.com/spreadsheets/d/1BeghqumK0IvCmRd2QOy6_afsZq7ZtAGrSnVJy2u7WmY/edit?usp=share_link"",""นราธิวาส!L407"")+IMPORTRANGE(""https://docs.google.com/spreadsheets/d/1IwnW3-jjRf74MCLW-6P"&amp;"iFwMUffRQXZwZA7YM609NmRc/edit?usp=share_link"",""ปัตตานี!L407"")+IMPORTRANGE(""https://docs.google.com/spreadsheets/d/1vl4QWbWdFruual5o_wdo6ZSqXZ_it806oja4CctTLKs/edit?usp=share_link"",""พังงา!L407"")+IMPORTRANGE(""https://docs.google.com/spreadsheets/d/1"&amp;"b6QssHQp2FoAPSMKHOy273KNzAomaIKhtdlvuZ_zDNE/edit?usp=share_link"",""พัทลุง!L407"")+IMPORTRANGE(""https://docs.google.com/spreadsheets/d/1o7UZe4_OqlqtLDHrj01Z2YFRSZDf1DMy1n3XViHaxRc/edit?usp=share_link"",""ภูเก็ต!L407"")+IMPORTRANGE(""https://docs.google.c"&amp;"om/spreadsheets/d/1ctPm1vUzcUCPuOj9-eoHUD85PqINFqUB0TjdSWmR5-c/edit?usp=share_link"",""ยะลา!L407"")+IMPORTRANGE(""https://docs.google.com/spreadsheets/d/1YiDIE7Klmt8osgdapRqYWNr7iPGFSsiJqq46S7PYRE0/edit?usp=share_link"",""ระนอง!L407"")+IMPORTRANGE(""https"&amp;"://docs.google.com/spreadsheets/d/16o_4B-V7AWw_6E93bSpXj_XxVv1oVQctk-B6z1dNEWU/edit?usp=share_link"",""สงขลา!L407"")+IMPORTRANGE(""https://docs.google.com/spreadsheets/d/16cywr71Fj4fA5OGRHsZh30ZG2gwJhMAQv69oVBzYHv0/edit?usp=share_link"",""สตูล!L407"")+IMP"&amp;"ORTRANGE(""https://docs.google.com/spreadsheets/d/1vO9Sws6kMtrVtyvrAJptINXjK8TFBoX9xLYOVK_C8bQ/edit?usp=share_link"",""สุราษฎร์ธานี!L407"")"),0)</f>
        <v>0</v>
      </c>
      <c r="M407" s="44">
        <f ca="1">IFERROR(__xludf.DUMMYFUNCTION("IMPORTRANGE(""https://docs.google.com/spreadsheets/d/1kC41EOXpGBFOW658Fs3oD8beYlym0-zO54WY-2Qnp9I/edit?usp=share_link"",""กระบี่!M407"")
+IMPORTRANGE(""https://docs.google.com/spreadsheets/d/1FbzMZY_f3MDiEuK7RpCQKrilJ_kpX0Wm7QBZ1L7EjIU/edit?usp=share_link"&amp;""",""ชุมพร!M407"")+IMPORTRANGE(""https://docs.google.com/spreadsheets/d/1v5sN-00LrXuhBxw4dkh2GrG_z4l5oAqOdJRBCsUyMaM/edit?usp=share_link"",""ตรัง!M407"")+IMPORTRANGE(""https://docs.google.com/spreadsheets/d/1T5rRTzFc79aSIvqnzkZNvwPstq829QYz_xALlO1Z0s8/edi"&amp;"t?usp=share_link"",""นครศรีธรรมราช!M407"")+IMPORTRANGE(""https://docs.google.com/spreadsheets/d/1BeghqumK0IvCmRd2QOy6_afsZq7ZtAGrSnVJy2u7WmY/edit?usp=share_link"",""นราธิวาส!M407"")+IMPORTRANGE(""https://docs.google.com/spreadsheets/d/1IwnW3-jjRf74MCLW-6P"&amp;"iFwMUffRQXZwZA7YM609NmRc/edit?usp=share_link"",""ปัตตานี!M407"")+IMPORTRANGE(""https://docs.google.com/spreadsheets/d/1vl4QWbWdFruual5o_wdo6ZSqXZ_it806oja4CctTLKs/edit?usp=share_link"",""พังงา!M407"")+IMPORTRANGE(""https://docs.google.com/spreadsheets/d/1"&amp;"b6QssHQp2FoAPSMKHOy273KNzAomaIKhtdlvuZ_zDNE/edit?usp=share_link"",""พัทลุง!M407"")+IMPORTRANGE(""https://docs.google.com/spreadsheets/d/1o7UZe4_OqlqtLDHrj01Z2YFRSZDf1DMy1n3XViHaxRc/edit?usp=share_link"",""ภูเก็ต!M407"")+IMPORTRANGE(""https://docs.google.c"&amp;"om/spreadsheets/d/1ctPm1vUzcUCPuOj9-eoHUD85PqINFqUB0TjdSWmR5-c/edit?usp=share_link"",""ยะลา!M407"")+IMPORTRANGE(""https://docs.google.com/spreadsheets/d/1YiDIE7Klmt8osgdapRqYWNr7iPGFSsiJqq46S7PYRE0/edit?usp=share_link"",""ระนอง!M407"")+IMPORTRANGE(""https"&amp;"://docs.google.com/spreadsheets/d/16o_4B-V7AWw_6E93bSpXj_XxVv1oVQctk-B6z1dNEWU/edit?usp=share_link"",""สงขลา!M407"")+IMPORTRANGE(""https://docs.google.com/spreadsheets/d/16cywr71Fj4fA5OGRHsZh30ZG2gwJhMAQv69oVBzYHv0/edit?usp=share_link"",""สตูล!M407"")+IMP"&amp;"ORTRANGE(""https://docs.google.com/spreadsheets/d/1vO9Sws6kMtrVtyvrAJptINXjK8TFBoX9xLYOVK_C8bQ/edit?usp=share_link"",""สุราษฎร์ธานี!M407"")"),0)</f>
        <v>0</v>
      </c>
      <c r="N407" s="44">
        <f ca="1">IFERROR(__xludf.DUMMYFUNCTION("IMPORTRANGE(""https://docs.google.com/spreadsheets/d/1kC41EOXpGBFOW658Fs3oD8beYlym0-zO54WY-2Qnp9I/edit?usp=share_link"",""กระบี่!N407"")
+IMPORTRANGE(""https://docs.google.com/spreadsheets/d/1FbzMZY_f3MDiEuK7RpCQKrilJ_kpX0Wm7QBZ1L7EjIU/edit?usp=share_link"&amp;""",""ชุมพร!N407"")+IMPORTRANGE(""https://docs.google.com/spreadsheets/d/1v5sN-00LrXuhBxw4dkh2GrG_z4l5oAqOdJRBCsUyMaM/edit?usp=share_link"",""ตรัง!N407"")+IMPORTRANGE(""https://docs.google.com/spreadsheets/d/1T5rRTzFc79aSIvqnzkZNvwPstq829QYz_xALlO1Z0s8/edi"&amp;"t?usp=share_link"",""นครศรีธรรมราช!N407"")+IMPORTRANGE(""https://docs.google.com/spreadsheets/d/1BeghqumK0IvCmRd2QOy6_afsZq7ZtAGrSnVJy2u7WmY/edit?usp=share_link"",""นราธิวาส!N407"")+IMPORTRANGE(""https://docs.google.com/spreadsheets/d/1IwnW3-jjRf74MCLW-6P"&amp;"iFwMUffRQXZwZA7YM609NmRc/edit?usp=share_link"",""ปัตตานี!N407"")+IMPORTRANGE(""https://docs.google.com/spreadsheets/d/1vl4QWbWdFruual5o_wdo6ZSqXZ_it806oja4CctTLKs/edit?usp=share_link"",""พังงา!N407"")+IMPORTRANGE(""https://docs.google.com/spreadsheets/d/1"&amp;"b6QssHQp2FoAPSMKHOy273KNzAomaIKhtdlvuZ_zDNE/edit?usp=share_link"",""พัทลุง!N407"")+IMPORTRANGE(""https://docs.google.com/spreadsheets/d/1o7UZe4_OqlqtLDHrj01Z2YFRSZDf1DMy1n3XViHaxRc/edit?usp=share_link"",""ภูเก็ต!N407"")+IMPORTRANGE(""https://docs.google.c"&amp;"om/spreadsheets/d/1ctPm1vUzcUCPuOj9-eoHUD85PqINFqUB0TjdSWmR5-c/edit?usp=share_link"",""ยะลา!N407"")+IMPORTRANGE(""https://docs.google.com/spreadsheets/d/1YiDIE7Klmt8osgdapRqYWNr7iPGFSsiJqq46S7PYRE0/edit?usp=share_link"",""ระนอง!N407"")+IMPORTRANGE(""https"&amp;"://docs.google.com/spreadsheets/d/16o_4B-V7AWw_6E93bSpXj_XxVv1oVQctk-B6z1dNEWU/edit?usp=share_link"",""สงขลา!N407"")+IMPORTRANGE(""https://docs.google.com/spreadsheets/d/16cywr71Fj4fA5OGRHsZh30ZG2gwJhMAQv69oVBzYHv0/edit?usp=share_link"",""สตูล!N407"")+IMP"&amp;"ORTRANGE(""https://docs.google.com/spreadsheets/d/1vO9Sws6kMtrVtyvrAJptINXjK8TFBoX9xLYOVK_C8bQ/edit?usp=share_link"",""สุราษฎร์ธานี!N407"")"),0)</f>
        <v>0</v>
      </c>
      <c r="O407" s="44">
        <f t="shared" ca="1" si="203"/>
        <v>0</v>
      </c>
      <c r="P407" s="44">
        <f t="shared" ca="1" si="204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0.25" customHeight="1">
      <c r="A408" s="158"/>
      <c r="B408" s="32"/>
      <c r="C408" s="159"/>
      <c r="D408" s="33" t="s">
        <v>21</v>
      </c>
      <c r="E408" s="32"/>
      <c r="F408" s="32"/>
      <c r="G408" s="34"/>
      <c r="H408" s="167" t="s">
        <v>12</v>
      </c>
      <c r="I408" s="161"/>
      <c r="J408" s="161"/>
      <c r="K408" s="162"/>
      <c r="L408" s="37">
        <f t="shared" ref="L408:N408" ca="1" si="208">L409+L410</f>
        <v>34000000</v>
      </c>
      <c r="M408" s="37">
        <f t="shared" ca="1" si="208"/>
        <v>34000000</v>
      </c>
      <c r="N408" s="37">
        <f t="shared" ca="1" si="208"/>
        <v>33405684</v>
      </c>
      <c r="O408" s="37">
        <f t="shared" ca="1" si="203"/>
        <v>98.252011764705884</v>
      </c>
      <c r="P408" s="37">
        <f t="shared" ca="1" si="204"/>
        <v>98.252011764705884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20.25" hidden="1" customHeight="1">
      <c r="A409" s="155"/>
      <c r="B409" s="39"/>
      <c r="C409" s="163"/>
      <c r="D409" s="39"/>
      <c r="E409" s="40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44">
        <f t="shared" si="203"/>
        <v>0</v>
      </c>
      <c r="P409" s="44">
        <f t="shared" si="204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0.25" hidden="1" customHeight="1">
      <c r="A410" s="155"/>
      <c r="B410" s="39"/>
      <c r="C410" s="163"/>
      <c r="D410" s="39"/>
      <c r="E410" s="40" t="s">
        <v>19</v>
      </c>
      <c r="F410" s="39"/>
      <c r="G410" s="156"/>
      <c r="H410" s="168" t="s">
        <v>12</v>
      </c>
      <c r="I410" s="165"/>
      <c r="J410" s="165"/>
      <c r="K410" s="166"/>
      <c r="L410" s="44">
        <f ca="1">IFERROR(__xludf.DUMMYFUNCTION("IMPORTRANGE(""https://docs.google.com/spreadsheets/d/1kC41EOXpGBFOW658Fs3oD8beYlym0-zO54WY-2Qnp9I/edit?usp=share_link"",""กระบี่!L410"")
+IMPORTRANGE(""https://docs.google.com/spreadsheets/d/1FbzMZY_f3MDiEuK7RpCQKrilJ_kpX0Wm7QBZ1L7EjIU/edit?usp=share_link"&amp;""",""ชุมพร!L410"")+IMPORTRANGE(""https://docs.google.com/spreadsheets/d/1v5sN-00LrXuhBxw4dkh2GrG_z4l5oAqOdJRBCsUyMaM/edit?usp=share_link"",""ตรัง!L410"")+IMPORTRANGE(""https://docs.google.com/spreadsheets/d/1T5rRTzFc79aSIvqnzkZNvwPstq829QYz_xALlO1Z0s8/edi"&amp;"t?usp=share_link"",""นครศรีธรรมราช!L410"")+IMPORTRANGE(""https://docs.google.com/spreadsheets/d/1BeghqumK0IvCmRd2QOy6_afsZq7ZtAGrSnVJy2u7WmY/edit?usp=share_link"",""นราธิวาส!L410"")+IMPORTRANGE(""https://docs.google.com/spreadsheets/d/1IwnW3-jjRf74MCLW-6P"&amp;"iFwMUffRQXZwZA7YM609NmRc/edit?usp=share_link"",""ปัตตานี!L410"")+IMPORTRANGE(""https://docs.google.com/spreadsheets/d/1vl4QWbWdFruual5o_wdo6ZSqXZ_it806oja4CctTLKs/edit?usp=share_link"",""พังงา!L410"")+IMPORTRANGE(""https://docs.google.com/spreadsheets/d/1"&amp;"b6QssHQp2FoAPSMKHOy273KNzAomaIKhtdlvuZ_zDNE/edit?usp=share_link"",""พัทลุง!L410"")+IMPORTRANGE(""https://docs.google.com/spreadsheets/d/1o7UZe4_OqlqtLDHrj01Z2YFRSZDf1DMy1n3XViHaxRc/edit?usp=share_link"",""ภูเก็ต!L410"")+IMPORTRANGE(""https://docs.google.c"&amp;"om/spreadsheets/d/1ctPm1vUzcUCPuOj9-eoHUD85PqINFqUB0TjdSWmR5-c/edit?usp=share_link"",""ยะลา!L410"")+IMPORTRANGE(""https://docs.google.com/spreadsheets/d/1YiDIE7Klmt8osgdapRqYWNr7iPGFSsiJqq46S7PYRE0/edit?usp=share_link"",""ระนอง!L410"")+IMPORTRANGE(""https"&amp;"://docs.google.com/spreadsheets/d/16o_4B-V7AWw_6E93bSpXj_XxVv1oVQctk-B6z1dNEWU/edit?usp=share_link"",""สงขลา!L410"")+IMPORTRANGE(""https://docs.google.com/spreadsheets/d/16cywr71Fj4fA5OGRHsZh30ZG2gwJhMAQv69oVBzYHv0/edit?usp=share_link"",""สตูล!L410"")+IMP"&amp;"ORTRANGE(""https://docs.google.com/spreadsheets/d/1vO9Sws6kMtrVtyvrAJptINXjK8TFBoX9xLYOVK_C8bQ/edit?usp=share_link"",""สุราษฎร์ธานี!L410"")"),34000000)</f>
        <v>34000000</v>
      </c>
      <c r="M410" s="44">
        <f ca="1">IFERROR(__xludf.DUMMYFUNCTION("IMPORTRANGE(""https://docs.google.com/spreadsheets/d/1kC41EOXpGBFOW658Fs3oD8beYlym0-zO54WY-2Qnp9I/edit?usp=share_link"",""กระบี่!M410"")
+IMPORTRANGE(""https://docs.google.com/spreadsheets/d/1FbzMZY_f3MDiEuK7RpCQKrilJ_kpX0Wm7QBZ1L7EjIU/edit?usp=share_link"&amp;""",""ชุมพร!M410"")+IMPORTRANGE(""https://docs.google.com/spreadsheets/d/1v5sN-00LrXuhBxw4dkh2GrG_z4l5oAqOdJRBCsUyMaM/edit?usp=share_link"",""ตรัง!M410"")+IMPORTRANGE(""https://docs.google.com/spreadsheets/d/1T5rRTzFc79aSIvqnzkZNvwPstq829QYz_xALlO1Z0s8/edi"&amp;"t?usp=share_link"",""นครศรีธรรมราช!M410"")+IMPORTRANGE(""https://docs.google.com/spreadsheets/d/1BeghqumK0IvCmRd2QOy6_afsZq7ZtAGrSnVJy2u7WmY/edit?usp=share_link"",""นราธิวาส!M410"")+IMPORTRANGE(""https://docs.google.com/spreadsheets/d/1IwnW3-jjRf74MCLW-6P"&amp;"iFwMUffRQXZwZA7YM609NmRc/edit?usp=share_link"",""ปัตตานี!M410"")+IMPORTRANGE(""https://docs.google.com/spreadsheets/d/1vl4QWbWdFruual5o_wdo6ZSqXZ_it806oja4CctTLKs/edit?usp=share_link"",""พังงา!M410"")+IMPORTRANGE(""https://docs.google.com/spreadsheets/d/1"&amp;"b6QssHQp2FoAPSMKHOy273KNzAomaIKhtdlvuZ_zDNE/edit?usp=share_link"",""พัทลุง!M410"")+IMPORTRANGE(""https://docs.google.com/spreadsheets/d/1o7UZe4_OqlqtLDHrj01Z2YFRSZDf1DMy1n3XViHaxRc/edit?usp=share_link"",""ภูเก็ต!M410"")+IMPORTRANGE(""https://docs.google.c"&amp;"om/spreadsheets/d/1ctPm1vUzcUCPuOj9-eoHUD85PqINFqUB0TjdSWmR5-c/edit?usp=share_link"",""ยะลา!M410"")+IMPORTRANGE(""https://docs.google.com/spreadsheets/d/1YiDIE7Klmt8osgdapRqYWNr7iPGFSsiJqq46S7PYRE0/edit?usp=share_link"",""ระนอง!M410"")+IMPORTRANGE(""https"&amp;"://docs.google.com/spreadsheets/d/16o_4B-V7AWw_6E93bSpXj_XxVv1oVQctk-B6z1dNEWU/edit?usp=share_link"",""สงขลา!M410"")+IMPORTRANGE(""https://docs.google.com/spreadsheets/d/16cywr71Fj4fA5OGRHsZh30ZG2gwJhMAQv69oVBzYHv0/edit?usp=share_link"",""สตูล!M410"")+IMP"&amp;"ORTRANGE(""https://docs.google.com/spreadsheets/d/1vO9Sws6kMtrVtyvrAJptINXjK8TFBoX9xLYOVK_C8bQ/edit?usp=share_link"",""สุราษฎร์ธานี!M410"")"),34000000)</f>
        <v>34000000</v>
      </c>
      <c r="N410" s="44">
        <f ca="1">IFERROR(__xludf.DUMMYFUNCTION("IMPORTRANGE(""https://docs.google.com/spreadsheets/d/1kC41EOXpGBFOW658Fs3oD8beYlym0-zO54WY-2Qnp9I/edit?usp=share_link"",""กระบี่!N410"")
+IMPORTRANGE(""https://docs.google.com/spreadsheets/d/1FbzMZY_f3MDiEuK7RpCQKrilJ_kpX0Wm7QBZ1L7EjIU/edit?usp=share_link"&amp;""",""ชุมพร!N410"")+IMPORTRANGE(""https://docs.google.com/spreadsheets/d/1v5sN-00LrXuhBxw4dkh2GrG_z4l5oAqOdJRBCsUyMaM/edit?usp=share_link"",""ตรัง!N410"")+IMPORTRANGE(""https://docs.google.com/spreadsheets/d/1T5rRTzFc79aSIvqnzkZNvwPstq829QYz_xALlO1Z0s8/edi"&amp;"t?usp=share_link"",""นครศรีธรรมราช!N410"")+IMPORTRANGE(""https://docs.google.com/spreadsheets/d/1BeghqumK0IvCmRd2QOy6_afsZq7ZtAGrSnVJy2u7WmY/edit?usp=share_link"",""นราธิวาส!N410"")+IMPORTRANGE(""https://docs.google.com/spreadsheets/d/1IwnW3-jjRf74MCLW-6P"&amp;"iFwMUffRQXZwZA7YM609NmRc/edit?usp=share_link"",""ปัตตานี!N410"")+IMPORTRANGE(""https://docs.google.com/spreadsheets/d/1vl4QWbWdFruual5o_wdo6ZSqXZ_it806oja4CctTLKs/edit?usp=share_link"",""พังงา!N410"")+IMPORTRANGE(""https://docs.google.com/spreadsheets/d/1"&amp;"b6QssHQp2FoAPSMKHOy273KNzAomaIKhtdlvuZ_zDNE/edit?usp=share_link"",""พัทลุง!N410"")+IMPORTRANGE(""https://docs.google.com/spreadsheets/d/1o7UZe4_OqlqtLDHrj01Z2YFRSZDf1DMy1n3XViHaxRc/edit?usp=share_link"",""ภูเก็ต!N410"")+IMPORTRANGE(""https://docs.google.c"&amp;"om/spreadsheets/d/1ctPm1vUzcUCPuOj9-eoHUD85PqINFqUB0TjdSWmR5-c/edit?usp=share_link"",""ยะลา!N410"")+IMPORTRANGE(""https://docs.google.com/spreadsheets/d/1YiDIE7Klmt8osgdapRqYWNr7iPGFSsiJqq46S7PYRE0/edit?usp=share_link"",""ระนอง!N410"")+IMPORTRANGE(""https"&amp;"://docs.google.com/spreadsheets/d/16o_4B-V7AWw_6E93bSpXj_XxVv1oVQctk-B6z1dNEWU/edit?usp=share_link"",""สงขลา!N410"")+IMPORTRANGE(""https://docs.google.com/spreadsheets/d/16cywr71Fj4fA5OGRHsZh30ZG2gwJhMAQv69oVBzYHv0/edit?usp=share_link"",""สตูล!N410"")+IMP"&amp;"ORTRANGE(""https://docs.google.com/spreadsheets/d/1vO9Sws6kMtrVtyvrAJptINXjK8TFBoX9xLYOVK_C8bQ/edit?usp=share_link"",""สุราษฎร์ธานี!N410"")"),33405684)</f>
        <v>33405684</v>
      </c>
      <c r="O410" s="44">
        <f t="shared" ca="1" si="203"/>
        <v>98.252011764705884</v>
      </c>
      <c r="P410" s="44">
        <f t="shared" ca="1" si="204"/>
        <v>98.252011764705884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0.25" customHeight="1">
      <c r="A411" s="169"/>
      <c r="B411" s="170"/>
      <c r="C411" s="163" t="s">
        <v>16</v>
      </c>
      <c r="D411" s="534" t="s">
        <v>38</v>
      </c>
      <c r="E411" s="535"/>
      <c r="F411" s="535"/>
      <c r="G411" s="536"/>
      <c r="H411" s="174"/>
      <c r="I411" s="36"/>
      <c r="J411" s="36"/>
      <c r="K411" s="37"/>
      <c r="L411" s="162"/>
      <c r="M411" s="162"/>
      <c r="N411" s="162"/>
      <c r="O411" s="162"/>
      <c r="P411" s="162"/>
    </row>
    <row r="412" spans="1:26" ht="20.25" customHeight="1">
      <c r="A412" s="169"/>
      <c r="B412" s="177"/>
      <c r="C412" s="177"/>
      <c r="D412" s="180" t="s">
        <v>177</v>
      </c>
      <c r="E412" s="177"/>
      <c r="F412" s="177"/>
      <c r="G412" s="178"/>
      <c r="H412" s="537" t="s">
        <v>66</v>
      </c>
      <c r="I412" s="269">
        <f ca="1">IFERROR(__xludf.DUMMYFUNCTION("IMPORTRANGE(""https://docs.google.com/spreadsheets/d/1kC41EOXpGBFOW658Fs3oD8beYlym0-zO54WY-2Qnp9I/edit?usp=share_link"",""กระบี่!I412"")
+IMPORTRANGE(""https://docs.google.com/spreadsheets/d/1FbzMZY_f3MDiEuK7RpCQKrilJ_kpX0Wm7QBZ1L7EjIU/edit?usp=share_link"&amp;""",""ชุมพร!I412"")+IMPORTRANGE(""https://docs.google.com/spreadsheets/d/1v5sN-00LrXuhBxw4dkh2GrG_z4l5oAqOdJRBCsUyMaM/edit?usp=share_link"",""ตรัง!I412"")+IMPORTRANGE(""https://docs.google.com/spreadsheets/d/1T5rRTzFc79aSIvqnzkZNvwPstq829QYz_xALlO1Z0s8/edi"&amp;"t?usp=share_link"",""นครศรีธรรมราช!I412"")+IMPORTRANGE(""https://docs.google.com/spreadsheets/d/1BeghqumK0IvCmRd2QOy6_afsZq7ZtAGrSnVJy2u7WmY/edit?usp=share_link"",""นราธิวาส!I412"")+IMPORTRANGE(""https://docs.google.com/spreadsheets/d/1IwnW3-jjRf74MCLW-6P"&amp;"iFwMUffRQXZwZA7YM609NmRc/edit?usp=share_link"",""ปัตตานี!I412"")+IMPORTRANGE(""https://docs.google.com/spreadsheets/d/1vl4QWbWdFruual5o_wdo6ZSqXZ_it806oja4CctTLKs/edit?usp=share_link"",""พังงา!I412"")+IMPORTRANGE(""https://docs.google.com/spreadsheets/d/1"&amp;"b6QssHQp2FoAPSMKHOy273KNzAomaIKhtdlvuZ_zDNE/edit?usp=share_link"",""พัทลุง!I412"")+IMPORTRANGE(""https://docs.google.com/spreadsheets/d/1o7UZe4_OqlqtLDHrj01Z2YFRSZDf1DMy1n3XViHaxRc/edit?usp=share_link"",""ภูเก็ต!I412"")+IMPORTRANGE(""https://docs.google.c"&amp;"om/spreadsheets/d/1ctPm1vUzcUCPuOj9-eoHUD85PqINFqUB0TjdSWmR5-c/edit?usp=share_link"",""ยะลา!I412"")+IMPORTRANGE(""https://docs.google.com/spreadsheets/d/1YiDIE7Klmt8osgdapRqYWNr7iPGFSsiJqq46S7PYRE0/edit?usp=share_link"",""ระนอง!I412"")+IMPORTRANGE(""https"&amp;"://docs.google.com/spreadsheets/d/16o_4B-V7AWw_6E93bSpXj_XxVv1oVQctk-B6z1dNEWU/edit?usp=share_link"",""สงขลา!I412"")+IMPORTRANGE(""https://docs.google.com/spreadsheets/d/16cywr71Fj4fA5OGRHsZh30ZG2gwJhMAQv69oVBzYHv0/edit?usp=share_link"",""สตูล!I412"")+IMP"&amp;"ORTRANGE(""https://docs.google.com/spreadsheets/d/1vO9Sws6kMtrVtyvrAJptINXjK8TFBoX9xLYOVK_C8bQ/edit?usp=share_link"",""สุราษฎร์ธานี!I412"")"),15)</f>
        <v>15</v>
      </c>
      <c r="J412" s="182">
        <f ca="1">IFERROR(__xludf.DUMMYFUNCTION("IMPORTRANGE(""https://docs.google.com/spreadsheets/d/1kC41EOXpGBFOW658Fs3oD8beYlym0-zO54WY-2Qnp9I/edit?usp=share_link"",""กระบี่!J412"")
+IMPORTRANGE(""https://docs.google.com/spreadsheets/d/1FbzMZY_f3MDiEuK7RpCQKrilJ_kpX0Wm7QBZ1L7EjIU/edit?usp=share_link"&amp;""",""ชุมพร!J412"")+IMPORTRANGE(""https://docs.google.com/spreadsheets/d/1v5sN-00LrXuhBxw4dkh2GrG_z4l5oAqOdJRBCsUyMaM/edit?usp=share_link"",""ตรัง!J412"")+IMPORTRANGE(""https://docs.google.com/spreadsheets/d/1T5rRTzFc79aSIvqnzkZNvwPstq829QYz_xALlO1Z0s8/edi"&amp;"t?usp=share_link"",""นครศรีธรรมราช!J412"")+IMPORTRANGE(""https://docs.google.com/spreadsheets/d/1BeghqumK0IvCmRd2QOy6_afsZq7ZtAGrSnVJy2u7WmY/edit?usp=share_link"",""นราธิวาส!J412"")+IMPORTRANGE(""https://docs.google.com/spreadsheets/d/1IwnW3-jjRf74MCLW-6P"&amp;"iFwMUffRQXZwZA7YM609NmRc/edit?usp=share_link"",""ปัตตานี!J412"")+IMPORTRANGE(""https://docs.google.com/spreadsheets/d/1vl4QWbWdFruual5o_wdo6ZSqXZ_it806oja4CctTLKs/edit?usp=share_link"",""พังงา!J412"")+IMPORTRANGE(""https://docs.google.com/spreadsheets/d/1"&amp;"b6QssHQp2FoAPSMKHOy273KNzAomaIKhtdlvuZ_zDNE/edit?usp=share_link"",""พัทลุง!J412"")+IMPORTRANGE(""https://docs.google.com/spreadsheets/d/1o7UZe4_OqlqtLDHrj01Z2YFRSZDf1DMy1n3XViHaxRc/edit?usp=share_link"",""ภูเก็ต!J412"")+IMPORTRANGE(""https://docs.google.c"&amp;"om/spreadsheets/d/1ctPm1vUzcUCPuOj9-eoHUD85PqINFqUB0TjdSWmR5-c/edit?usp=share_link"",""ยะลา!J412"")+IMPORTRANGE(""https://docs.google.com/spreadsheets/d/1YiDIE7Klmt8osgdapRqYWNr7iPGFSsiJqq46S7PYRE0/edit?usp=share_link"",""ระนอง!J412"")+IMPORTRANGE(""https"&amp;"://docs.google.com/spreadsheets/d/16o_4B-V7AWw_6E93bSpXj_XxVv1oVQctk-B6z1dNEWU/edit?usp=share_link"",""สงขลา!J412"")+IMPORTRANGE(""https://docs.google.com/spreadsheets/d/16cywr71Fj4fA5OGRHsZh30ZG2gwJhMAQv69oVBzYHv0/edit?usp=share_link"",""สตูล!J412"")+IMP"&amp;"ORTRANGE(""https://docs.google.com/spreadsheets/d/1vO9Sws6kMtrVtyvrAJptINXjK8TFBoX9xLYOVK_C8bQ/edit?usp=share_link"",""สุราษฎร์ธานี!J412"")"),14)</f>
        <v>14</v>
      </c>
      <c r="K412" s="37">
        <f t="shared" ref="K412:K413" ca="1" si="209">IF(I412&gt;0,J412*100/I412,0)</f>
        <v>93.333333333333329</v>
      </c>
      <c r="L412" s="162"/>
      <c r="M412" s="162"/>
      <c r="N412" s="162"/>
      <c r="O412" s="162"/>
      <c r="P412" s="162"/>
    </row>
    <row r="413" spans="1:26" ht="20.25" customHeight="1">
      <c r="A413" s="538"/>
      <c r="B413" s="539"/>
      <c r="C413" s="539"/>
      <c r="D413" s="540" t="s">
        <v>178</v>
      </c>
      <c r="E413" s="539"/>
      <c r="F413" s="539"/>
      <c r="G413" s="541"/>
      <c r="H413" s="542" t="s">
        <v>179</v>
      </c>
      <c r="I413" s="543">
        <f ca="1">IFERROR(__xludf.DUMMYFUNCTION("IMPORTRANGE(""https://docs.google.com/spreadsheets/d/1kC41EOXpGBFOW658Fs3oD8beYlym0-zO54WY-2Qnp9I/edit?usp=share_link"",""กระบี่!I413"")
+IMPORTRANGE(""https://docs.google.com/spreadsheets/d/1FbzMZY_f3MDiEuK7RpCQKrilJ_kpX0Wm7QBZ1L7EjIU/edit?usp=share_link"&amp;""",""ชุมพร!I413"")+IMPORTRANGE(""https://docs.google.com/spreadsheets/d/1v5sN-00LrXuhBxw4dkh2GrG_z4l5oAqOdJRBCsUyMaM/edit?usp=share_link"",""ตรัง!I413"")+IMPORTRANGE(""https://docs.google.com/spreadsheets/d/1T5rRTzFc79aSIvqnzkZNvwPstq829QYz_xALlO1Z0s8/edi"&amp;"t?usp=share_link"",""นครศรีธรรมราช!I413"")+IMPORTRANGE(""https://docs.google.com/spreadsheets/d/1BeghqumK0IvCmRd2QOy6_afsZq7ZtAGrSnVJy2u7WmY/edit?usp=share_link"",""นราธิวาส!I413"")+IMPORTRANGE(""https://docs.google.com/spreadsheets/d/1IwnW3-jjRf74MCLW-6P"&amp;"iFwMUffRQXZwZA7YM609NmRc/edit?usp=share_link"",""ปัตตานี!I413"")+IMPORTRANGE(""https://docs.google.com/spreadsheets/d/1vl4QWbWdFruual5o_wdo6ZSqXZ_it806oja4CctTLKs/edit?usp=share_link"",""พังงา!I413"")+IMPORTRANGE(""https://docs.google.com/spreadsheets/d/1"&amp;"b6QssHQp2FoAPSMKHOy273KNzAomaIKhtdlvuZ_zDNE/edit?usp=share_link"",""พัทลุง!I413"")+IMPORTRANGE(""https://docs.google.com/spreadsheets/d/1o7UZe4_OqlqtLDHrj01Z2YFRSZDf1DMy1n3XViHaxRc/edit?usp=share_link"",""ภูเก็ต!I413"")+IMPORTRANGE(""https://docs.google.c"&amp;"om/spreadsheets/d/1ctPm1vUzcUCPuOj9-eoHUD85PqINFqUB0TjdSWmR5-c/edit?usp=share_link"",""ยะลา!I413"")+IMPORTRANGE(""https://docs.google.com/spreadsheets/d/1YiDIE7Klmt8osgdapRqYWNr7iPGFSsiJqq46S7PYRE0/edit?usp=share_link"",""ระนอง!I413"")+IMPORTRANGE(""https"&amp;"://docs.google.com/spreadsheets/d/16o_4B-V7AWw_6E93bSpXj_XxVv1oVQctk-B6z1dNEWU/edit?usp=share_link"",""สงขลา!I413"")+IMPORTRANGE(""https://docs.google.com/spreadsheets/d/16cywr71Fj4fA5OGRHsZh30ZG2gwJhMAQv69oVBzYHv0/edit?usp=share_link"",""สตูล!I413"")+IMP"&amp;"ORTRANGE(""https://docs.google.com/spreadsheets/d/1vO9Sws6kMtrVtyvrAJptINXjK8TFBoX9xLYOVK_C8bQ/edit?usp=share_link"",""สุราษฎร์ธานี!I413"")"),795800)</f>
        <v>795800</v>
      </c>
      <c r="J413" s="544">
        <f ca="1">IFERROR(__xludf.DUMMYFUNCTION("IMPORTRANGE(""https://docs.google.com/spreadsheets/d/1kC41EOXpGBFOW658Fs3oD8beYlym0-zO54WY-2Qnp9I/edit?usp=share_link"",""กระบี่!J413"")
+IMPORTRANGE(""https://docs.google.com/spreadsheets/d/1FbzMZY_f3MDiEuK7RpCQKrilJ_kpX0Wm7QBZ1L7EjIU/edit?usp=share_link"&amp;""",""ชุมพร!J413"")+IMPORTRANGE(""https://docs.google.com/spreadsheets/d/1v5sN-00LrXuhBxw4dkh2GrG_z4l5oAqOdJRBCsUyMaM/edit?usp=share_link"",""ตรัง!J413"")+IMPORTRANGE(""https://docs.google.com/spreadsheets/d/1T5rRTzFc79aSIvqnzkZNvwPstq829QYz_xALlO1Z0s8/edi"&amp;"t?usp=share_link"",""นครศรีธรรมราช!J413"")+IMPORTRANGE(""https://docs.google.com/spreadsheets/d/1BeghqumK0IvCmRd2QOy6_afsZq7ZtAGrSnVJy2u7WmY/edit?usp=share_link"",""นราธิวาส!J413"")+IMPORTRANGE(""https://docs.google.com/spreadsheets/d/1IwnW3-jjRf74MCLW-6P"&amp;"iFwMUffRQXZwZA7YM609NmRc/edit?usp=share_link"",""ปัตตานี!J413"")+IMPORTRANGE(""https://docs.google.com/spreadsheets/d/1vl4QWbWdFruual5o_wdo6ZSqXZ_it806oja4CctTLKs/edit?usp=share_link"",""พังงา!J413"")+IMPORTRANGE(""https://docs.google.com/spreadsheets/d/1"&amp;"b6QssHQp2FoAPSMKHOy273KNzAomaIKhtdlvuZ_zDNE/edit?usp=share_link"",""พัทลุง!J413"")+IMPORTRANGE(""https://docs.google.com/spreadsheets/d/1o7UZe4_OqlqtLDHrj01Z2YFRSZDf1DMy1n3XViHaxRc/edit?usp=share_link"",""ภูเก็ต!J413"")+IMPORTRANGE(""https://docs.google.c"&amp;"om/spreadsheets/d/1ctPm1vUzcUCPuOj9-eoHUD85PqINFqUB0TjdSWmR5-c/edit?usp=share_link"",""ยะลา!J413"")+IMPORTRANGE(""https://docs.google.com/spreadsheets/d/1YiDIE7Klmt8osgdapRqYWNr7iPGFSsiJqq46S7PYRE0/edit?usp=share_link"",""ระนอง!J413"")+IMPORTRANGE(""https"&amp;"://docs.google.com/spreadsheets/d/16o_4B-V7AWw_6E93bSpXj_XxVv1oVQctk-B6z1dNEWU/edit?usp=share_link"",""สงขลา!J413"")+IMPORTRANGE(""https://docs.google.com/spreadsheets/d/16cywr71Fj4fA5OGRHsZh30ZG2gwJhMAQv69oVBzYHv0/edit?usp=share_link"",""สตูล!J413"")+IMP"&amp;"ORTRANGE(""https://docs.google.com/spreadsheets/d/1vO9Sws6kMtrVtyvrAJptINXjK8TFBoX9xLYOVK_C8bQ/edit?usp=share_link"",""สุราษฎร์ธานี!J413"")"),660431)</f>
        <v>660431</v>
      </c>
      <c r="K413" s="545">
        <f t="shared" ca="1" si="209"/>
        <v>82.989570243779838</v>
      </c>
      <c r="L413" s="546"/>
      <c r="M413" s="546"/>
      <c r="N413" s="546"/>
      <c r="O413" s="546"/>
      <c r="P413" s="546"/>
    </row>
    <row r="414" spans="1:26" ht="20.25" customHeight="1">
      <c r="A414" s="547" t="s">
        <v>180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210">L419+L444+L467+L502+L523+L544+L629+L655+L685+L737+L754+L770+L786+L805</f>
        <v>15881700</v>
      </c>
      <c r="M414" s="553">
        <f t="shared" ca="1" si="210"/>
        <v>16134132.029999999</v>
      </c>
      <c r="N414" s="553">
        <f t="shared" ca="1" si="210"/>
        <v>16134132.030000001</v>
      </c>
      <c r="O414" s="553">
        <f ca="1">IF(L414&gt;0,N414*100/L414,0)</f>
        <v>101.58945219970154</v>
      </c>
      <c r="P414" s="553">
        <f ca="1">IF(M414&gt;0,N414*100/M414,0)</f>
        <v>100</v>
      </c>
    </row>
    <row r="415" spans="1:26" ht="20.25" customHeight="1">
      <c r="A415" s="554" t="s">
        <v>181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20.25" customHeight="1">
      <c r="A416" s="554" t="s">
        <v>182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20.25" customHeight="1">
      <c r="A417" s="563">
        <v>1</v>
      </c>
      <c r="B417" s="564" t="s">
        <v>183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7" ca="1" si="211">I433</f>
        <v>250</v>
      </c>
      <c r="J417" s="569">
        <f t="shared" ca="1" si="211"/>
        <v>250</v>
      </c>
      <c r="K417" s="570">
        <f t="shared" ref="K417:K418" ca="1" si="212">IF(I417&gt;0,J417*100/I417,0)</f>
        <v>100</v>
      </c>
      <c r="L417" s="571"/>
      <c r="M417" s="571"/>
      <c r="N417" s="571"/>
      <c r="O417" s="571"/>
      <c r="P417" s="571"/>
    </row>
    <row r="418" spans="1:26" ht="20.25" customHeight="1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ref="I418:J418" ca="1" si="213">I434</f>
        <v>15</v>
      </c>
      <c r="J418" s="569">
        <f t="shared" ca="1" si="213"/>
        <v>15</v>
      </c>
      <c r="K418" s="570">
        <f t="shared" ca="1" si="212"/>
        <v>100</v>
      </c>
      <c r="L418" s="571"/>
      <c r="M418" s="571"/>
      <c r="N418" s="571"/>
      <c r="O418" s="571"/>
      <c r="P418" s="571"/>
    </row>
    <row r="419" spans="1:26" ht="20.25" customHeight="1">
      <c r="A419" s="146"/>
      <c r="B419" s="147"/>
      <c r="C419" s="147" t="s">
        <v>16</v>
      </c>
      <c r="D419" s="895" t="s">
        <v>17</v>
      </c>
      <c r="E419" s="890"/>
      <c r="F419" s="890"/>
      <c r="G419" s="150"/>
      <c r="H419" s="274" t="s">
        <v>12</v>
      </c>
      <c r="I419" s="152"/>
      <c r="J419" s="152"/>
      <c r="K419" s="153"/>
      <c r="L419" s="154">
        <f t="shared" ref="L419:N419" ca="1" si="214">L420+L421</f>
        <v>1038820</v>
      </c>
      <c r="M419" s="154">
        <f t="shared" ca="1" si="214"/>
        <v>1119460</v>
      </c>
      <c r="N419" s="154">
        <f t="shared" ca="1" si="214"/>
        <v>1119460</v>
      </c>
      <c r="O419" s="154">
        <f t="shared" ref="O419:O424" ca="1" si="215">IF(L419&gt;0,N419*100/L419,0)</f>
        <v>107.76265378025067</v>
      </c>
      <c r="P419" s="154">
        <f t="shared" ref="P419:P424" ca="1" si="216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20.25" hidden="1" customHeight="1">
      <c r="A420" s="155"/>
      <c r="B420" s="39"/>
      <c r="C420" s="39"/>
      <c r="D420" s="367"/>
      <c r="E420" s="40" t="s">
        <v>184</v>
      </c>
      <c r="F420" s="39"/>
      <c r="G420" s="156"/>
      <c r="H420" s="164" t="s">
        <v>12</v>
      </c>
      <c r="I420" s="43"/>
      <c r="J420" s="43"/>
      <c r="K420" s="44"/>
      <c r="L420" s="44">
        <f t="shared" ref="L420:N420" si="217">L423+L430</f>
        <v>0</v>
      </c>
      <c r="M420" s="44">
        <f t="shared" si="217"/>
        <v>0</v>
      </c>
      <c r="N420" s="44">
        <f t="shared" si="217"/>
        <v>0</v>
      </c>
      <c r="O420" s="44">
        <f t="shared" si="215"/>
        <v>0</v>
      </c>
      <c r="P420" s="44">
        <f t="shared" si="216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0.25" hidden="1" customHeight="1">
      <c r="A421" s="155"/>
      <c r="B421" s="39"/>
      <c r="C421" s="39"/>
      <c r="D421" s="367"/>
      <c r="E421" s="40" t="s">
        <v>185</v>
      </c>
      <c r="F421" s="39"/>
      <c r="G421" s="156"/>
      <c r="H421" s="164" t="s">
        <v>12</v>
      </c>
      <c r="I421" s="43"/>
      <c r="J421" s="43"/>
      <c r="K421" s="44"/>
      <c r="L421" s="44">
        <f t="shared" ref="L421:N421" ca="1" si="218">L424+L431</f>
        <v>1038820</v>
      </c>
      <c r="M421" s="44">
        <f t="shared" ca="1" si="218"/>
        <v>1119460</v>
      </c>
      <c r="N421" s="44">
        <f t="shared" ca="1" si="218"/>
        <v>1119460</v>
      </c>
      <c r="O421" s="44">
        <f t="shared" ca="1" si="215"/>
        <v>107.76265378025067</v>
      </c>
      <c r="P421" s="44">
        <f t="shared" ca="1" si="216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0.25" customHeight="1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61"/>
      <c r="J422" s="161"/>
      <c r="K422" s="162"/>
      <c r="L422" s="37">
        <f t="shared" ref="L422:N422" ca="1" si="219">L423+L424</f>
        <v>1038820</v>
      </c>
      <c r="M422" s="37">
        <f t="shared" ca="1" si="219"/>
        <v>1119460</v>
      </c>
      <c r="N422" s="37">
        <f t="shared" ca="1" si="219"/>
        <v>1119460</v>
      </c>
      <c r="O422" s="37">
        <f t="shared" ca="1" si="215"/>
        <v>107.76265378025067</v>
      </c>
      <c r="P422" s="37">
        <f t="shared" ca="1" si="216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20.25" hidden="1" customHeight="1">
      <c r="A423" s="155"/>
      <c r="B423" s="39"/>
      <c r="C423" s="39"/>
      <c r="D423" s="367"/>
      <c r="E423" s="40" t="s">
        <v>184</v>
      </c>
      <c r="F423" s="39"/>
      <c r="G423" s="156"/>
      <c r="H423" s="164" t="s">
        <v>12</v>
      </c>
      <c r="I423" s="43"/>
      <c r="J423" s="43"/>
      <c r="K423" s="44"/>
      <c r="L423" s="92">
        <v>0</v>
      </c>
      <c r="M423" s="92">
        <v>0</v>
      </c>
      <c r="N423" s="92">
        <v>0</v>
      </c>
      <c r="O423" s="44">
        <f t="shared" si="215"/>
        <v>0</v>
      </c>
      <c r="P423" s="44">
        <f t="shared" si="216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0.25" hidden="1" customHeight="1">
      <c r="A424" s="155"/>
      <c r="B424" s="39"/>
      <c r="C424" s="39"/>
      <c r="D424" s="367"/>
      <c r="E424" s="40" t="s">
        <v>185</v>
      </c>
      <c r="F424" s="39"/>
      <c r="G424" s="156"/>
      <c r="H424" s="164" t="s">
        <v>12</v>
      </c>
      <c r="I424" s="43"/>
      <c r="J424" s="43"/>
      <c r="K424" s="44"/>
      <c r="L424" s="44">
        <f ca="1">IFERROR(__xludf.DUMMYFUNCTION("IMPORTRANGE(""https://docs.google.com/spreadsheets/d/1kC41EOXpGBFOW658Fs3oD8beYlym0-zO54WY-2Qnp9I/edit?usp=share_link"",""กระบี่!L424"")
+IMPORTRANGE(""https://docs.google.com/spreadsheets/d/1FbzMZY_f3MDiEuK7RpCQKrilJ_kpX0Wm7QBZ1L7EjIU/edit?usp=share_link"&amp;""",""ชุมพร!L424"")+IMPORTRANGE(""https://docs.google.com/spreadsheets/d/1v5sN-00LrXuhBxw4dkh2GrG_z4l5oAqOdJRBCsUyMaM/edit?usp=share_link"",""ตรัง!L424"")+IMPORTRANGE(""https://docs.google.com/spreadsheets/d/1T5rRTzFc79aSIvqnzkZNvwPstq829QYz_xALlO1Z0s8/edi"&amp;"t?usp=share_link"",""นครศรีธรรมราช!L424"")+IMPORTRANGE(""https://docs.google.com/spreadsheets/d/1BeghqumK0IvCmRd2QOy6_afsZq7ZtAGrSnVJy2u7WmY/edit?usp=share_link"",""นราธิวาส!L424"")+IMPORTRANGE(""https://docs.google.com/spreadsheets/d/1IwnW3-jjRf74MCLW-6P"&amp;"iFwMUffRQXZwZA7YM609NmRc/edit?usp=share_link"",""ปัตตานี!L424"")+IMPORTRANGE(""https://docs.google.com/spreadsheets/d/1vl4QWbWdFruual5o_wdo6ZSqXZ_it806oja4CctTLKs/edit?usp=share_link"",""พังงา!L424"")+IMPORTRANGE(""https://docs.google.com/spreadsheets/d/1"&amp;"b6QssHQp2FoAPSMKHOy273KNzAomaIKhtdlvuZ_zDNE/edit?usp=share_link"",""พัทลุง!L424"")+IMPORTRANGE(""https://docs.google.com/spreadsheets/d/1o7UZe4_OqlqtLDHrj01Z2YFRSZDf1DMy1n3XViHaxRc/edit?usp=share_link"",""ภูเก็ต!L424"")+IMPORTRANGE(""https://docs.google.c"&amp;"om/spreadsheets/d/1ctPm1vUzcUCPuOj9-eoHUD85PqINFqUB0TjdSWmR5-c/edit?usp=share_link"",""ยะลา!L424"")+IMPORTRANGE(""https://docs.google.com/spreadsheets/d/1YiDIE7Klmt8osgdapRqYWNr7iPGFSsiJqq46S7PYRE0/edit?usp=share_link"",""ระนอง!L424"")+IMPORTRANGE(""https"&amp;"://docs.google.com/spreadsheets/d/16o_4B-V7AWw_6E93bSpXj_XxVv1oVQctk-B6z1dNEWU/edit?usp=share_link"",""สงขลา!L424"")+IMPORTRANGE(""https://docs.google.com/spreadsheets/d/16cywr71Fj4fA5OGRHsZh30ZG2gwJhMAQv69oVBzYHv0/edit?usp=share_link"",""สตูล!L424"")+IMP"&amp;"ORTRANGE(""https://docs.google.com/spreadsheets/d/1vO9Sws6kMtrVtyvrAJptINXjK8TFBoX9xLYOVK_C8bQ/edit?usp=share_link"",""สุราษฎร์ธานี!L424"")"),1038820)</f>
        <v>1038820</v>
      </c>
      <c r="M424" s="92">
        <f ca="1">IFERROR(__xludf.DUMMYFUNCTION("IMPORTRANGE(""https://docs.google.com/spreadsheets/d/1kC41EOXpGBFOW658Fs3oD8beYlym0-zO54WY-2Qnp9I/edit?usp=share_link"",""กระบี่!M424"")
+IMPORTRANGE(""https://docs.google.com/spreadsheets/d/1FbzMZY_f3MDiEuK7RpCQKrilJ_kpX0Wm7QBZ1L7EjIU/edit?usp=share_link"&amp;""",""ชุมพร!M424"")+IMPORTRANGE(""https://docs.google.com/spreadsheets/d/1v5sN-00LrXuhBxw4dkh2GrG_z4l5oAqOdJRBCsUyMaM/edit?usp=share_link"",""ตรัง!M424"")+IMPORTRANGE(""https://docs.google.com/spreadsheets/d/1T5rRTzFc79aSIvqnzkZNvwPstq829QYz_xALlO1Z0s8/edi"&amp;"t?usp=share_link"",""นครศรีธรรมราช!M424"")+IMPORTRANGE(""https://docs.google.com/spreadsheets/d/1BeghqumK0IvCmRd2QOy6_afsZq7ZtAGrSnVJy2u7WmY/edit?usp=share_link"",""นราธิวาส!M424"")+IMPORTRANGE(""https://docs.google.com/spreadsheets/d/1IwnW3-jjRf74MCLW-6P"&amp;"iFwMUffRQXZwZA7YM609NmRc/edit?usp=share_link"",""ปัตตานี!M424"")+IMPORTRANGE(""https://docs.google.com/spreadsheets/d/1vl4QWbWdFruual5o_wdo6ZSqXZ_it806oja4CctTLKs/edit?usp=share_link"",""พังงา!M424"")+IMPORTRANGE(""https://docs.google.com/spreadsheets/d/1"&amp;"b6QssHQp2FoAPSMKHOy273KNzAomaIKhtdlvuZ_zDNE/edit?usp=share_link"",""พัทลุง!M424"")+IMPORTRANGE(""https://docs.google.com/spreadsheets/d/1o7UZe4_OqlqtLDHrj01Z2YFRSZDf1DMy1n3XViHaxRc/edit?usp=share_link"",""ภูเก็ต!M424"")+IMPORTRANGE(""https://docs.google.c"&amp;"om/spreadsheets/d/1ctPm1vUzcUCPuOj9-eoHUD85PqINFqUB0TjdSWmR5-c/edit?usp=share_link"",""ยะลา!M424"")+IMPORTRANGE(""https://docs.google.com/spreadsheets/d/1YiDIE7Klmt8osgdapRqYWNr7iPGFSsiJqq46S7PYRE0/edit?usp=share_link"",""ระนอง!M424"")+IMPORTRANGE(""https"&amp;"://docs.google.com/spreadsheets/d/16o_4B-V7AWw_6E93bSpXj_XxVv1oVQctk-B6z1dNEWU/edit?usp=share_link"",""สงขลา!M424"")+IMPORTRANGE(""https://docs.google.com/spreadsheets/d/16cywr71Fj4fA5OGRHsZh30ZG2gwJhMAQv69oVBzYHv0/edit?usp=share_link"",""สตูล!M424"")+IMP"&amp;"ORTRANGE(""https://docs.google.com/spreadsheets/d/1vO9Sws6kMtrVtyvrAJptINXjK8TFBoX9xLYOVK_C8bQ/edit?usp=share_link"",""สุราษฎร์ธานี!M424"")"),1119460)</f>
        <v>1119460</v>
      </c>
      <c r="N424" s="44">
        <f ca="1">N425+N426+N427+N428</f>
        <v>1119460</v>
      </c>
      <c r="O424" s="44">
        <f t="shared" ca="1" si="215"/>
        <v>107.76265378025067</v>
      </c>
      <c r="P424" s="44">
        <f t="shared" ca="1" si="216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0.25" customHeight="1">
      <c r="A425" s="573"/>
      <c r="B425" s="574"/>
      <c r="C425" s="575"/>
      <c r="D425" s="575"/>
      <c r="E425" s="575"/>
      <c r="F425" s="576" t="s">
        <v>186</v>
      </c>
      <c r="G425" s="188"/>
      <c r="H425" s="160" t="s">
        <v>12</v>
      </c>
      <c r="I425" s="36"/>
      <c r="J425" s="36"/>
      <c r="K425" s="37"/>
      <c r="L425" s="37"/>
      <c r="M425" s="37"/>
      <c r="N425" s="282">
        <f ca="1">IFERROR(__xludf.DUMMYFUNCTION("IMPORTRANGE(""https://docs.google.com/spreadsheets/d/1kC41EOXpGBFOW658Fs3oD8beYlym0-zO54WY-2Qnp9I/edit?usp=share_link"",""กระบี่!N425"")
+IMPORTRANGE(""https://docs.google.com/spreadsheets/d/1FbzMZY_f3MDiEuK7RpCQKrilJ_kpX0Wm7QBZ1L7EjIU/edit?usp=share_link"&amp;""",""ชุมพร!N425"")+IMPORTRANGE(""https://docs.google.com/spreadsheets/d/1v5sN-00LrXuhBxw4dkh2GrG_z4l5oAqOdJRBCsUyMaM/edit?usp=share_link"",""ตรัง!N425"")+IMPORTRANGE(""https://docs.google.com/spreadsheets/d/1T5rRTzFc79aSIvqnzkZNvwPstq829QYz_xALlO1Z0s8/edi"&amp;"t?usp=share_link"",""นครศรีธรรมราช!N425"")+IMPORTRANGE(""https://docs.google.com/spreadsheets/d/1BeghqumK0IvCmRd2QOy6_afsZq7ZtAGrSnVJy2u7WmY/edit?usp=share_link"",""นราธิวาส!N425"")+IMPORTRANGE(""https://docs.google.com/spreadsheets/d/1IwnW3-jjRf74MCLW-6P"&amp;"iFwMUffRQXZwZA7YM609NmRc/edit?usp=share_link"",""ปัตตานี!N425"")+IMPORTRANGE(""https://docs.google.com/spreadsheets/d/1vl4QWbWdFruual5o_wdo6ZSqXZ_it806oja4CctTLKs/edit?usp=share_link"",""พังงา!N425"")+IMPORTRANGE(""https://docs.google.com/spreadsheets/d/1"&amp;"b6QssHQp2FoAPSMKHOy273KNzAomaIKhtdlvuZ_zDNE/edit?usp=share_link"",""พัทลุง!N425"")+IMPORTRANGE(""https://docs.google.com/spreadsheets/d/1o7UZe4_OqlqtLDHrj01Z2YFRSZDf1DMy1n3XViHaxRc/edit?usp=share_link"",""ภูเก็ต!N425"")+IMPORTRANGE(""https://docs.google.c"&amp;"om/spreadsheets/d/1ctPm1vUzcUCPuOj9-eoHUD85PqINFqUB0TjdSWmR5-c/edit?usp=share_link"",""ยะลา!N425"")+IMPORTRANGE(""https://docs.google.com/spreadsheets/d/1YiDIE7Klmt8osgdapRqYWNr7iPGFSsiJqq46S7PYRE0/edit?usp=share_link"",""ระนอง!N425"")+IMPORTRANGE(""https"&amp;"://docs.google.com/spreadsheets/d/16o_4B-V7AWw_6E93bSpXj_XxVv1oVQctk-B6z1dNEWU/edit?usp=share_link"",""สงขลา!N425"")+IMPORTRANGE(""https://docs.google.com/spreadsheets/d/16cywr71Fj4fA5OGRHsZh30ZG2gwJhMAQv69oVBzYHv0/edit?usp=share_link"",""สตูล!N425"")+IMP"&amp;"ORTRANGE(""https://docs.google.com/spreadsheets/d/1vO9Sws6kMtrVtyvrAJptINXjK8TFBoX9xLYOVK_C8bQ/edit?usp=share_link"",""สุราษฎร์ธานี!N425"")"),639560)</f>
        <v>639560</v>
      </c>
      <c r="O425" s="37"/>
      <c r="P425" s="37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20.25" customHeight="1">
      <c r="A426" s="573"/>
      <c r="B426" s="574"/>
      <c r="C426" s="575"/>
      <c r="D426" s="575"/>
      <c r="E426" s="575"/>
      <c r="F426" s="576" t="s">
        <v>187</v>
      </c>
      <c r="G426" s="188"/>
      <c r="H426" s="160" t="s">
        <v>12</v>
      </c>
      <c r="I426" s="36"/>
      <c r="J426" s="36"/>
      <c r="K426" s="37"/>
      <c r="L426" s="37"/>
      <c r="M426" s="37"/>
      <c r="N426" s="282">
        <f ca="1">IFERROR(__xludf.DUMMYFUNCTION("IMPORTRANGE(""https://docs.google.com/spreadsheets/d/1kC41EOXpGBFOW658Fs3oD8beYlym0-zO54WY-2Qnp9I/edit?usp=share_link"",""กระบี่!N426"")
+IMPORTRANGE(""https://docs.google.com/spreadsheets/d/1FbzMZY_f3MDiEuK7RpCQKrilJ_kpX0Wm7QBZ1L7EjIU/edit?usp=share_link"&amp;""",""ชุมพร!N426"")+IMPORTRANGE(""https://docs.google.com/spreadsheets/d/1v5sN-00LrXuhBxw4dkh2GrG_z4l5oAqOdJRBCsUyMaM/edit?usp=share_link"",""ตรัง!N426"")+IMPORTRANGE(""https://docs.google.com/spreadsheets/d/1T5rRTzFc79aSIvqnzkZNvwPstq829QYz_xALlO1Z0s8/edi"&amp;"t?usp=share_link"",""นครศรีธรรมราช!N426"")+IMPORTRANGE(""https://docs.google.com/spreadsheets/d/1BeghqumK0IvCmRd2QOy6_afsZq7ZtAGrSnVJy2u7WmY/edit?usp=share_link"",""นราธิวาส!N426"")+IMPORTRANGE(""https://docs.google.com/spreadsheets/d/1IwnW3-jjRf74MCLW-6P"&amp;"iFwMUffRQXZwZA7YM609NmRc/edit?usp=share_link"",""ปัตตานี!N426"")+IMPORTRANGE(""https://docs.google.com/spreadsheets/d/1vl4QWbWdFruual5o_wdo6ZSqXZ_it806oja4CctTLKs/edit?usp=share_link"",""พังงา!N426"")+IMPORTRANGE(""https://docs.google.com/spreadsheets/d/1"&amp;"b6QssHQp2FoAPSMKHOy273KNzAomaIKhtdlvuZ_zDNE/edit?usp=share_link"",""พัทลุง!N426"")+IMPORTRANGE(""https://docs.google.com/spreadsheets/d/1o7UZe4_OqlqtLDHrj01Z2YFRSZDf1DMy1n3XViHaxRc/edit?usp=share_link"",""ภูเก็ต!N426"")+IMPORTRANGE(""https://docs.google.c"&amp;"om/spreadsheets/d/1ctPm1vUzcUCPuOj9-eoHUD85PqINFqUB0TjdSWmR5-c/edit?usp=share_link"",""ยะลา!N426"")+IMPORTRANGE(""https://docs.google.com/spreadsheets/d/1YiDIE7Klmt8osgdapRqYWNr7iPGFSsiJqq46S7PYRE0/edit?usp=share_link"",""ระนอง!N426"")+IMPORTRANGE(""https"&amp;"://docs.google.com/spreadsheets/d/16o_4B-V7AWw_6E93bSpXj_XxVv1oVQctk-B6z1dNEWU/edit?usp=share_link"",""สงขลา!N426"")+IMPORTRANGE(""https://docs.google.com/spreadsheets/d/16cywr71Fj4fA5OGRHsZh30ZG2gwJhMAQv69oVBzYHv0/edit?usp=share_link"",""สตูล!N426"")+IMP"&amp;"ORTRANGE(""https://docs.google.com/spreadsheets/d/1vO9Sws6kMtrVtyvrAJptINXjK8TFBoX9xLYOVK_C8bQ/edit?usp=share_link"",""สุราษฎร์ธานี!N426"")"),0)</f>
        <v>0</v>
      </c>
      <c r="O426" s="37"/>
      <c r="P426" s="37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20.25" customHeight="1">
      <c r="A427" s="573"/>
      <c r="B427" s="574"/>
      <c r="C427" s="575"/>
      <c r="D427" s="575"/>
      <c r="E427" s="575"/>
      <c r="F427" s="576" t="s">
        <v>188</v>
      </c>
      <c r="G427" s="188"/>
      <c r="H427" s="160" t="s">
        <v>12</v>
      </c>
      <c r="I427" s="36"/>
      <c r="J427" s="36"/>
      <c r="K427" s="37"/>
      <c r="L427" s="37"/>
      <c r="M427" s="37"/>
      <c r="N427" s="282">
        <f ca="1">IFERROR(__xludf.DUMMYFUNCTION("IMPORTRANGE(""https://docs.google.com/spreadsheets/d/1kC41EOXpGBFOW658Fs3oD8beYlym0-zO54WY-2Qnp9I/edit?usp=share_link"",""กระบี่!N427"")
+IMPORTRANGE(""https://docs.google.com/spreadsheets/d/1FbzMZY_f3MDiEuK7RpCQKrilJ_kpX0Wm7QBZ1L7EjIU/edit?usp=share_link"&amp;""",""ชุมพร!N427"")+IMPORTRANGE(""https://docs.google.com/spreadsheets/d/1v5sN-00LrXuhBxw4dkh2GrG_z4l5oAqOdJRBCsUyMaM/edit?usp=share_link"",""ตรัง!N427"")+IMPORTRANGE(""https://docs.google.com/spreadsheets/d/1T5rRTzFc79aSIvqnzkZNvwPstq829QYz_xALlO1Z0s8/edi"&amp;"t?usp=share_link"",""นครศรีธรรมราช!N427"")+IMPORTRANGE(""https://docs.google.com/spreadsheets/d/1BeghqumK0IvCmRd2QOy6_afsZq7ZtAGrSnVJy2u7WmY/edit?usp=share_link"",""นราธิวาส!N427"")+IMPORTRANGE(""https://docs.google.com/spreadsheets/d/1IwnW3-jjRf74MCLW-6P"&amp;"iFwMUffRQXZwZA7YM609NmRc/edit?usp=share_link"",""ปัตตานี!N427"")+IMPORTRANGE(""https://docs.google.com/spreadsheets/d/1vl4QWbWdFruual5o_wdo6ZSqXZ_it806oja4CctTLKs/edit?usp=share_link"",""พังงา!N427"")+IMPORTRANGE(""https://docs.google.com/spreadsheets/d/1"&amp;"b6QssHQp2FoAPSMKHOy273KNzAomaIKhtdlvuZ_zDNE/edit?usp=share_link"",""พัทลุง!N427"")+IMPORTRANGE(""https://docs.google.com/spreadsheets/d/1o7UZe4_OqlqtLDHrj01Z2YFRSZDf1DMy1n3XViHaxRc/edit?usp=share_link"",""ภูเก็ต!N427"")+IMPORTRANGE(""https://docs.google.c"&amp;"om/spreadsheets/d/1ctPm1vUzcUCPuOj9-eoHUD85PqINFqUB0TjdSWmR5-c/edit?usp=share_link"",""ยะลา!N427"")+IMPORTRANGE(""https://docs.google.com/spreadsheets/d/1YiDIE7Klmt8osgdapRqYWNr7iPGFSsiJqq46S7PYRE0/edit?usp=share_link"",""ระนอง!N427"")+IMPORTRANGE(""https"&amp;"://docs.google.com/spreadsheets/d/16o_4B-V7AWw_6E93bSpXj_XxVv1oVQctk-B6z1dNEWU/edit?usp=share_link"",""สงขลา!N427"")+IMPORTRANGE(""https://docs.google.com/spreadsheets/d/16cywr71Fj4fA5OGRHsZh30ZG2gwJhMAQv69oVBzYHv0/edit?usp=share_link"",""สตูล!N427"")+IMP"&amp;"ORTRANGE(""https://docs.google.com/spreadsheets/d/1vO9Sws6kMtrVtyvrAJptINXjK8TFBoX9xLYOVK_C8bQ/edit?usp=share_link"",""สุราษฎร์ธานี!N427"")"),0)</f>
        <v>0</v>
      </c>
      <c r="O427" s="37"/>
      <c r="P427" s="37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20.25" customHeight="1">
      <c r="A428" s="283"/>
      <c r="B428" s="280"/>
      <c r="C428" s="32"/>
      <c r="D428" s="32"/>
      <c r="E428" s="32"/>
      <c r="F428" s="211" t="s">
        <v>189</v>
      </c>
      <c r="G428" s="213"/>
      <c r="H428" s="160" t="s">
        <v>12</v>
      </c>
      <c r="I428" s="36"/>
      <c r="J428" s="36"/>
      <c r="K428" s="37"/>
      <c r="L428" s="37"/>
      <c r="M428" s="37"/>
      <c r="N428" s="282">
        <f ca="1">IFERROR(__xludf.DUMMYFUNCTION("IMPORTRANGE(""https://docs.google.com/spreadsheets/d/1kC41EOXpGBFOW658Fs3oD8beYlym0-zO54WY-2Qnp9I/edit?usp=share_link"",""กระบี่!N428"")
+IMPORTRANGE(""https://docs.google.com/spreadsheets/d/1FbzMZY_f3MDiEuK7RpCQKrilJ_kpX0Wm7QBZ1L7EjIU/edit?usp=share_link"&amp;""",""ชุมพร!N428"")+IMPORTRANGE(""https://docs.google.com/spreadsheets/d/1v5sN-00LrXuhBxw4dkh2GrG_z4l5oAqOdJRBCsUyMaM/edit?usp=share_link"",""ตรัง!N428"")+IMPORTRANGE(""https://docs.google.com/spreadsheets/d/1T5rRTzFc79aSIvqnzkZNvwPstq829QYz_xALlO1Z0s8/edi"&amp;"t?usp=share_link"",""นครศรีธรรมราช!N428"")+IMPORTRANGE(""https://docs.google.com/spreadsheets/d/1BeghqumK0IvCmRd2QOy6_afsZq7ZtAGrSnVJy2u7WmY/edit?usp=share_link"",""นราธิวาส!N428"")+IMPORTRANGE(""https://docs.google.com/spreadsheets/d/1IwnW3-jjRf74MCLW-6P"&amp;"iFwMUffRQXZwZA7YM609NmRc/edit?usp=share_link"",""ปัตตานี!N428"")+IMPORTRANGE(""https://docs.google.com/spreadsheets/d/1vl4QWbWdFruual5o_wdo6ZSqXZ_it806oja4CctTLKs/edit?usp=share_link"",""พังงา!N428"")+IMPORTRANGE(""https://docs.google.com/spreadsheets/d/1"&amp;"b6QssHQp2FoAPSMKHOy273KNzAomaIKhtdlvuZ_zDNE/edit?usp=share_link"",""พัทลุง!N428"")+IMPORTRANGE(""https://docs.google.com/spreadsheets/d/1o7UZe4_OqlqtLDHrj01Z2YFRSZDf1DMy1n3XViHaxRc/edit?usp=share_link"",""ภูเก็ต!N428"")+IMPORTRANGE(""https://docs.google.c"&amp;"om/spreadsheets/d/1ctPm1vUzcUCPuOj9-eoHUD85PqINFqUB0TjdSWmR5-c/edit?usp=share_link"",""ยะลา!N428"")+IMPORTRANGE(""https://docs.google.com/spreadsheets/d/1YiDIE7Klmt8osgdapRqYWNr7iPGFSsiJqq46S7PYRE0/edit?usp=share_link"",""ระนอง!N428"")+IMPORTRANGE(""https"&amp;"://docs.google.com/spreadsheets/d/16o_4B-V7AWw_6E93bSpXj_XxVv1oVQctk-B6z1dNEWU/edit?usp=share_link"",""สงขลา!N428"")+IMPORTRANGE(""https://docs.google.com/spreadsheets/d/16cywr71Fj4fA5OGRHsZh30ZG2gwJhMAQv69oVBzYHv0/edit?usp=share_link"",""สตูล!N428"")+IMP"&amp;"ORTRANGE(""https://docs.google.com/spreadsheets/d/1vO9Sws6kMtrVtyvrAJptINXjK8TFBoX9xLYOVK_C8bQ/edit?usp=share_link"",""สุราษฎร์ธานี!N428"")"),479900)</f>
        <v>479900</v>
      </c>
      <c r="O428" s="37"/>
      <c r="P428" s="3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20.25" customHeight="1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61"/>
      <c r="J429" s="161"/>
      <c r="K429" s="162"/>
      <c r="L429" s="37">
        <f t="shared" ref="L429:N429" ca="1" si="220">L430+L431</f>
        <v>0</v>
      </c>
      <c r="M429" s="37">
        <f t="shared" si="220"/>
        <v>0</v>
      </c>
      <c r="N429" s="37">
        <f t="shared" si="220"/>
        <v>0</v>
      </c>
      <c r="O429" s="37">
        <f t="shared" ref="O429:O431" ca="1" si="221">IF(L429&gt;0,N429*100/L429,0)</f>
        <v>0</v>
      </c>
      <c r="P429" s="37">
        <f t="shared" ref="P429:P431" si="222"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20.25" hidden="1" customHeight="1">
      <c r="A430" s="155"/>
      <c r="B430" s="356"/>
      <c r="C430" s="39"/>
      <c r="D430" s="39"/>
      <c r="E430" s="40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44">
        <f t="shared" si="221"/>
        <v>0</v>
      </c>
      <c r="P430" s="44">
        <f t="shared" si="222"/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0.25" hidden="1" customHeight="1">
      <c r="A431" s="155"/>
      <c r="B431" s="356"/>
      <c r="C431" s="39"/>
      <c r="D431" s="39"/>
      <c r="E431" s="40" t="s">
        <v>19</v>
      </c>
      <c r="F431" s="39"/>
      <c r="G431" s="41"/>
      <c r="H431" s="168" t="s">
        <v>12</v>
      </c>
      <c r="I431" s="165"/>
      <c r="J431" s="165"/>
      <c r="K431" s="166"/>
      <c r="L431" s="44">
        <f ca="1">IFERROR(__xludf.DUMMYFUNCTION("IMPORTRANGE(""https://docs.google.com/spreadsheets/d/1kC41EOXpGBFOW658Fs3oD8beYlym0-zO54WY-2Qnp9I/edit?usp=share_link"",""กระบี่!L431"")
+IMPORTRANGE(""https://docs.google.com/spreadsheets/d/1FbzMZY_f3MDiEuK7RpCQKrilJ_kpX0Wm7QBZ1L7EjIU/edit?usp=share_link"&amp;""",""ชุมพร!L431"")+IMPORTRANGE(""https://docs.google.com/spreadsheets/d/1v5sN-00LrXuhBxw4dkh2GrG_z4l5oAqOdJRBCsUyMaM/edit?usp=share_link"",""ตรัง!L431"")+IMPORTRANGE(""https://docs.google.com/spreadsheets/d/1T5rRTzFc79aSIvqnzkZNvwPstq829QYz_xALlO1Z0s8/edi"&amp;"t?usp=share_link"",""นครศรีธรรมราช!L431"")+IMPORTRANGE(""https://docs.google.com/spreadsheets/d/1BeghqumK0IvCmRd2QOy6_afsZq7ZtAGrSnVJy2u7WmY/edit?usp=share_link"",""นราธิวาส!L431"")+IMPORTRANGE(""https://docs.google.com/spreadsheets/d/1IwnW3-jjRf74MCLW-6P"&amp;"iFwMUffRQXZwZA7YM609NmRc/edit?usp=share_link"",""ปัตตานี!L431"")+IMPORTRANGE(""https://docs.google.com/spreadsheets/d/1vl4QWbWdFruual5o_wdo6ZSqXZ_it806oja4CctTLKs/edit?usp=share_link"",""พังงา!L431"")+IMPORTRANGE(""https://docs.google.com/spreadsheets/d/1"&amp;"b6QssHQp2FoAPSMKHOy273KNzAomaIKhtdlvuZ_zDNE/edit?usp=share_link"",""พัทลุง!L431"")+IMPORTRANGE(""https://docs.google.com/spreadsheets/d/1o7UZe4_OqlqtLDHrj01Z2YFRSZDf1DMy1n3XViHaxRc/edit?usp=share_link"",""ภูเก็ต!L431"")+IMPORTRANGE(""https://docs.google.c"&amp;"om/spreadsheets/d/1ctPm1vUzcUCPuOj9-eoHUD85PqINFqUB0TjdSWmR5-c/edit?usp=share_link"",""ยะลา!L431"")+IMPORTRANGE(""https://docs.google.com/spreadsheets/d/1YiDIE7Klmt8osgdapRqYWNr7iPGFSsiJqq46S7PYRE0/edit?usp=share_link"",""ระนอง!L431"")+IMPORTRANGE(""https"&amp;"://docs.google.com/spreadsheets/d/16o_4B-V7AWw_6E93bSpXj_XxVv1oVQctk-B6z1dNEWU/edit?usp=share_link"",""สงขลา!L431"")+IMPORTRANGE(""https://docs.google.com/spreadsheets/d/16cywr71Fj4fA5OGRHsZh30ZG2gwJhMAQv69oVBzYHv0/edit?usp=share_link"",""สตูล!L431"")+IMP"&amp;"ORTRANGE(""https://docs.google.com/spreadsheets/d/1vO9Sws6kMtrVtyvrAJptINXjK8TFBoX9xLYOVK_C8bQ/edit?usp=share_link"",""สุราษฎร์ธานี!L431"")"),0)</f>
        <v>0</v>
      </c>
      <c r="M431" s="92">
        <v>0</v>
      </c>
      <c r="N431" s="92">
        <v>0</v>
      </c>
      <c r="O431" s="44">
        <f t="shared" ca="1" si="221"/>
        <v>0</v>
      </c>
      <c r="P431" s="44">
        <f t="shared" si="222"/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0.25" customHeight="1">
      <c r="A432" s="414"/>
      <c r="B432" s="415"/>
      <c r="C432" s="147" t="s">
        <v>16</v>
      </c>
      <c r="D432" s="578" t="s">
        <v>38</v>
      </c>
      <c r="E432" s="579"/>
      <c r="F432" s="579"/>
      <c r="G432" s="580"/>
      <c r="H432" s="581"/>
      <c r="I432" s="152"/>
      <c r="J432" s="152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20.25" customHeight="1">
      <c r="A433" s="169"/>
      <c r="B433" s="170"/>
      <c r="C433" s="170"/>
      <c r="D433" s="185" t="s">
        <v>190</v>
      </c>
      <c r="E433" s="177"/>
      <c r="F433" s="177"/>
      <c r="G433" s="178"/>
      <c r="H433" s="195" t="s">
        <v>35</v>
      </c>
      <c r="I433" s="193">
        <f ca="1">I435</f>
        <v>250</v>
      </c>
      <c r="J433" s="193">
        <f ca="1">IFERROR(__xludf.DUMMYFUNCTION("IMPORTRANGE(""https://docs.google.com/spreadsheets/d/1kC41EOXpGBFOW658Fs3oD8beYlym0-zO54WY-2Qnp9I/edit?usp=share_link"",""กระบี่!J433"")
+IMPORTRANGE(""https://docs.google.com/spreadsheets/d/1FbzMZY_f3MDiEuK7RpCQKrilJ_kpX0Wm7QBZ1L7EjIU/edit?usp=share_link"&amp;""",""ชุมพร!J433"")+IMPORTRANGE(""https://docs.google.com/spreadsheets/d/1v5sN-00LrXuhBxw4dkh2GrG_z4l5oAqOdJRBCsUyMaM/edit?usp=share_link"",""ตรัง!J433"")+IMPORTRANGE(""https://docs.google.com/spreadsheets/d/1T5rRTzFc79aSIvqnzkZNvwPstq829QYz_xALlO1Z0s8/edi"&amp;"t?usp=share_link"",""นครศรีธรรมราช!J433"")+IMPORTRANGE(""https://docs.google.com/spreadsheets/d/1BeghqumK0IvCmRd2QOy6_afsZq7ZtAGrSnVJy2u7WmY/edit?usp=share_link"",""นราธิวาส!J433"")+IMPORTRANGE(""https://docs.google.com/spreadsheets/d/1IwnW3-jjRf74MCLW-6P"&amp;"iFwMUffRQXZwZA7YM609NmRc/edit?usp=share_link"",""ปัตตานี!J433"")+IMPORTRANGE(""https://docs.google.com/spreadsheets/d/1vl4QWbWdFruual5o_wdo6ZSqXZ_it806oja4CctTLKs/edit?usp=share_link"",""พังงา!J433"")+IMPORTRANGE(""https://docs.google.com/spreadsheets/d/1"&amp;"b6QssHQp2FoAPSMKHOy273KNzAomaIKhtdlvuZ_zDNE/edit?usp=share_link"",""พัทลุง!J433"")+IMPORTRANGE(""https://docs.google.com/spreadsheets/d/1o7UZe4_OqlqtLDHrj01Z2YFRSZDf1DMy1n3XViHaxRc/edit?usp=share_link"",""ภูเก็ต!J433"")+IMPORTRANGE(""https://docs.google.c"&amp;"om/spreadsheets/d/1ctPm1vUzcUCPuOj9-eoHUD85PqINFqUB0TjdSWmR5-c/edit?usp=share_link"",""ยะลา!J433"")+IMPORTRANGE(""https://docs.google.com/spreadsheets/d/1YiDIE7Klmt8osgdapRqYWNr7iPGFSsiJqq46S7PYRE0/edit?usp=share_link"",""ระนอง!J433"")+IMPORTRANGE(""https"&amp;"://docs.google.com/spreadsheets/d/16o_4B-V7AWw_6E93bSpXj_XxVv1oVQctk-B6z1dNEWU/edit?usp=share_link"",""สงขลา!J433"")+IMPORTRANGE(""https://docs.google.com/spreadsheets/d/16cywr71Fj4fA5OGRHsZh30ZG2gwJhMAQv69oVBzYHv0/edit?usp=share_link"",""สตูล!J433"")+IMP"&amp;"ORTRANGE(""https://docs.google.com/spreadsheets/d/1vO9Sws6kMtrVtyvrAJptINXjK8TFBoX9xLYOVK_C8bQ/edit?usp=share_link"",""สุราษฎร์ธานี!J433"")"),250)</f>
        <v>250</v>
      </c>
      <c r="K433" s="194">
        <f t="shared" ref="K433:K435" ca="1" si="223">IF(I433&gt;0,J433*100/I433,0)</f>
        <v>100</v>
      </c>
      <c r="L433" s="37"/>
      <c r="M433" s="37"/>
      <c r="N433" s="37"/>
      <c r="O433" s="37"/>
      <c r="P433" s="3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20.25" customHeight="1">
      <c r="A434" s="169"/>
      <c r="B434" s="170"/>
      <c r="C434" s="170"/>
      <c r="D434" s="185" t="s">
        <v>191</v>
      </c>
      <c r="E434" s="177"/>
      <c r="F434" s="177"/>
      <c r="G434" s="178"/>
      <c r="H434" s="195" t="s">
        <v>49</v>
      </c>
      <c r="I434" s="193">
        <f t="shared" ref="I434:J434" ca="1" si="224">I438+I440</f>
        <v>15</v>
      </c>
      <c r="J434" s="193">
        <f t="shared" ca="1" si="224"/>
        <v>15</v>
      </c>
      <c r="K434" s="194">
        <f t="shared" ca="1" si="223"/>
        <v>100</v>
      </c>
      <c r="L434" s="37"/>
      <c r="M434" s="37"/>
      <c r="N434" s="37"/>
      <c r="O434" s="37"/>
      <c r="P434" s="3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20.25" customHeight="1">
      <c r="A435" s="169"/>
      <c r="B435" s="170"/>
      <c r="C435" s="170"/>
      <c r="D435" s="180" t="s">
        <v>192</v>
      </c>
      <c r="E435" s="177"/>
      <c r="F435" s="177"/>
      <c r="G435" s="178"/>
      <c r="H435" s="35" t="s">
        <v>35</v>
      </c>
      <c r="I435" s="582">
        <f ca="1">IFERROR(__xludf.DUMMYFUNCTION("IMPORTRANGE(""https://docs.google.com/spreadsheets/d/1kC41EOXpGBFOW658Fs3oD8beYlym0-zO54WY-2Qnp9I/edit?usp=share_link"",""กระบี่!I435"")
+IMPORTRANGE(""https://docs.google.com/spreadsheets/d/1FbzMZY_f3MDiEuK7RpCQKrilJ_kpX0Wm7QBZ1L7EjIU/edit?usp=share_link"&amp;""",""ชุมพร!I435"")+IMPORTRANGE(""https://docs.google.com/spreadsheets/d/1v5sN-00LrXuhBxw4dkh2GrG_z4l5oAqOdJRBCsUyMaM/edit?usp=share_link"",""ตรัง!I435"")+IMPORTRANGE(""https://docs.google.com/spreadsheets/d/1T5rRTzFc79aSIvqnzkZNvwPstq829QYz_xALlO1Z0s8/edi"&amp;"t?usp=share_link"",""นครศรีธรรมราช!I435"")+IMPORTRANGE(""https://docs.google.com/spreadsheets/d/1BeghqumK0IvCmRd2QOy6_afsZq7ZtAGrSnVJy2u7WmY/edit?usp=share_link"",""นราธิวาส!I435"")+IMPORTRANGE(""https://docs.google.com/spreadsheets/d/1IwnW3-jjRf74MCLW-6P"&amp;"iFwMUffRQXZwZA7YM609NmRc/edit?usp=share_link"",""ปัตตานี!I435"")+IMPORTRANGE(""https://docs.google.com/spreadsheets/d/1vl4QWbWdFruual5o_wdo6ZSqXZ_it806oja4CctTLKs/edit?usp=share_link"",""พังงา!I435"")+IMPORTRANGE(""https://docs.google.com/spreadsheets/d/1"&amp;"b6QssHQp2FoAPSMKHOy273KNzAomaIKhtdlvuZ_zDNE/edit?usp=share_link"",""พัทลุง!I435"")+IMPORTRANGE(""https://docs.google.com/spreadsheets/d/1o7UZe4_OqlqtLDHrj01Z2YFRSZDf1DMy1n3XViHaxRc/edit?usp=share_link"",""ภูเก็ต!I435"")+IMPORTRANGE(""https://docs.google.c"&amp;"om/spreadsheets/d/1ctPm1vUzcUCPuOj9-eoHUD85PqINFqUB0TjdSWmR5-c/edit?usp=share_link"",""ยะลา!I435"")+IMPORTRANGE(""https://docs.google.com/spreadsheets/d/1YiDIE7Klmt8osgdapRqYWNr7iPGFSsiJqq46S7PYRE0/edit?usp=share_link"",""ระนอง!I435"")+IMPORTRANGE(""https"&amp;"://docs.google.com/spreadsheets/d/16o_4B-V7AWw_6E93bSpXj_XxVv1oVQctk-B6z1dNEWU/edit?usp=share_link"",""สงขลา!I435"")+IMPORTRANGE(""https://docs.google.com/spreadsheets/d/16cywr71Fj4fA5OGRHsZh30ZG2gwJhMAQv69oVBzYHv0/edit?usp=share_link"",""สตูล!I435"")+IMP"&amp;"ORTRANGE(""https://docs.google.com/spreadsheets/d/1vO9Sws6kMtrVtyvrAJptINXjK8TFBoX9xLYOVK_C8bQ/edit?usp=share_link"",""สุราษฎร์ธานี!I435"")"),250)</f>
        <v>250</v>
      </c>
      <c r="J435" s="583">
        <f ca="1">IFERROR(__xludf.DUMMYFUNCTION("IMPORTRANGE(""https://docs.google.com/spreadsheets/d/1kC41EOXpGBFOW658Fs3oD8beYlym0-zO54WY-2Qnp9I/edit?usp=share_link"",""กระบี่!J435"")
+IMPORTRANGE(""https://docs.google.com/spreadsheets/d/1FbzMZY_f3MDiEuK7RpCQKrilJ_kpX0Wm7QBZ1L7EjIU/edit?usp=share_link"&amp;""",""ชุมพร!J435"")+IMPORTRANGE(""https://docs.google.com/spreadsheets/d/1v5sN-00LrXuhBxw4dkh2GrG_z4l5oAqOdJRBCsUyMaM/edit?usp=share_link"",""ตรัง!J435"")+IMPORTRANGE(""https://docs.google.com/spreadsheets/d/1T5rRTzFc79aSIvqnzkZNvwPstq829QYz_xALlO1Z0s8/edi"&amp;"t?usp=share_link"",""นครศรีธรรมราช!J435"")+IMPORTRANGE(""https://docs.google.com/spreadsheets/d/1BeghqumK0IvCmRd2QOy6_afsZq7ZtAGrSnVJy2u7WmY/edit?usp=share_link"",""นราธิวาส!J435"")+IMPORTRANGE(""https://docs.google.com/spreadsheets/d/1IwnW3-jjRf74MCLW-6P"&amp;"iFwMUffRQXZwZA7YM609NmRc/edit?usp=share_link"",""ปัตตานี!J435"")+IMPORTRANGE(""https://docs.google.com/spreadsheets/d/1vl4QWbWdFruual5o_wdo6ZSqXZ_it806oja4CctTLKs/edit?usp=share_link"",""พังงา!J435"")+IMPORTRANGE(""https://docs.google.com/spreadsheets/d/1"&amp;"b6QssHQp2FoAPSMKHOy273KNzAomaIKhtdlvuZ_zDNE/edit?usp=share_link"",""พัทลุง!J435"")+IMPORTRANGE(""https://docs.google.com/spreadsheets/d/1o7UZe4_OqlqtLDHrj01Z2YFRSZDf1DMy1n3XViHaxRc/edit?usp=share_link"",""ภูเก็ต!J435"")+IMPORTRANGE(""https://docs.google.c"&amp;"om/spreadsheets/d/1ctPm1vUzcUCPuOj9-eoHUD85PqINFqUB0TjdSWmR5-c/edit?usp=share_link"",""ยะลา!J435"")+IMPORTRANGE(""https://docs.google.com/spreadsheets/d/1YiDIE7Klmt8osgdapRqYWNr7iPGFSsiJqq46S7PYRE0/edit?usp=share_link"",""ระนอง!J435"")+IMPORTRANGE(""https"&amp;"://docs.google.com/spreadsheets/d/16o_4B-V7AWw_6E93bSpXj_XxVv1oVQctk-B6z1dNEWU/edit?usp=share_link"",""สงขลา!J435"")+IMPORTRANGE(""https://docs.google.com/spreadsheets/d/16cywr71Fj4fA5OGRHsZh30ZG2gwJhMAQv69oVBzYHv0/edit?usp=share_link"",""สตูล!J435"")+IMP"&amp;"ORTRANGE(""https://docs.google.com/spreadsheets/d/1vO9Sws6kMtrVtyvrAJptINXjK8TFBoX9xLYOVK_C8bQ/edit?usp=share_link"",""สุราษฎร์ธานี!J435"")"),250)</f>
        <v>250</v>
      </c>
      <c r="K435" s="497">
        <f t="shared" ca="1" si="223"/>
        <v>100</v>
      </c>
      <c r="L435" s="37"/>
      <c r="M435" s="37"/>
      <c r="N435" s="37"/>
      <c r="O435" s="37"/>
      <c r="P435" s="3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20.25" customHeight="1">
      <c r="A436" s="169"/>
      <c r="B436" s="170"/>
      <c r="C436" s="170"/>
      <c r="D436" s="180" t="s">
        <v>193</v>
      </c>
      <c r="E436" s="177"/>
      <c r="F436" s="177"/>
      <c r="G436" s="178"/>
      <c r="H436" s="35"/>
      <c r="I436" s="36"/>
      <c r="J436" s="36"/>
      <c r="K436" s="37"/>
      <c r="L436" s="37"/>
      <c r="M436" s="37"/>
      <c r="N436" s="37"/>
      <c r="O436" s="37"/>
      <c r="P436" s="3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20.25" customHeight="1">
      <c r="A437" s="169"/>
      <c r="B437" s="170"/>
      <c r="C437" s="170"/>
      <c r="D437" s="180" t="s">
        <v>194</v>
      </c>
      <c r="E437" s="177"/>
      <c r="F437" s="177"/>
      <c r="G437" s="178"/>
      <c r="H437" s="35" t="s">
        <v>35</v>
      </c>
      <c r="I437" s="582">
        <f ca="1">IFERROR(__xludf.DUMMYFUNCTION("IMPORTRANGE(""https://docs.google.com/spreadsheets/d/1kC41EOXpGBFOW658Fs3oD8beYlym0-zO54WY-2Qnp9I/edit?usp=share_link"",""กระบี่!I437"")
+IMPORTRANGE(""https://docs.google.com/spreadsheets/d/1FbzMZY_f3MDiEuK7RpCQKrilJ_kpX0Wm7QBZ1L7EjIU/edit?usp=share_link"&amp;""",""ชุมพร!I437"")+IMPORTRANGE(""https://docs.google.com/spreadsheets/d/1v5sN-00LrXuhBxw4dkh2GrG_z4l5oAqOdJRBCsUyMaM/edit?usp=share_link"",""ตรัง!I437"")+IMPORTRANGE(""https://docs.google.com/spreadsheets/d/1T5rRTzFc79aSIvqnzkZNvwPstq829QYz_xALlO1Z0s8/edi"&amp;"t?usp=share_link"",""นครศรีธรรมราช!I437"")+IMPORTRANGE(""https://docs.google.com/spreadsheets/d/1BeghqumK0IvCmRd2QOy6_afsZq7ZtAGrSnVJy2u7WmY/edit?usp=share_link"",""นราธิวาส!I437"")+IMPORTRANGE(""https://docs.google.com/spreadsheets/d/1IwnW3-jjRf74MCLW-6P"&amp;"iFwMUffRQXZwZA7YM609NmRc/edit?usp=share_link"",""ปัตตานี!I437"")+IMPORTRANGE(""https://docs.google.com/spreadsheets/d/1vl4QWbWdFruual5o_wdo6ZSqXZ_it806oja4CctTLKs/edit?usp=share_link"",""พังงา!I437"")+IMPORTRANGE(""https://docs.google.com/spreadsheets/d/1"&amp;"b6QssHQp2FoAPSMKHOy273KNzAomaIKhtdlvuZ_zDNE/edit?usp=share_link"",""พัทลุง!I437"")+IMPORTRANGE(""https://docs.google.com/spreadsheets/d/1o7UZe4_OqlqtLDHrj01Z2YFRSZDf1DMy1n3XViHaxRc/edit?usp=share_link"",""ภูเก็ต!I437"")+IMPORTRANGE(""https://docs.google.c"&amp;"om/spreadsheets/d/1ctPm1vUzcUCPuOj9-eoHUD85PqINFqUB0TjdSWmR5-c/edit?usp=share_link"",""ยะลา!I437"")+IMPORTRANGE(""https://docs.google.com/spreadsheets/d/1YiDIE7Klmt8osgdapRqYWNr7iPGFSsiJqq46S7PYRE0/edit?usp=share_link"",""ระนอง!I437"")+IMPORTRANGE(""https"&amp;"://docs.google.com/spreadsheets/d/16o_4B-V7AWw_6E93bSpXj_XxVv1oVQctk-B6z1dNEWU/edit?usp=share_link"",""สงขลา!I437"")+IMPORTRANGE(""https://docs.google.com/spreadsheets/d/16cywr71Fj4fA5OGRHsZh30ZG2gwJhMAQv69oVBzYHv0/edit?usp=share_link"",""สตูล!I437"")+IMP"&amp;"ORTRANGE(""https://docs.google.com/spreadsheets/d/1vO9Sws6kMtrVtyvrAJptINXjK8TFBoX9xLYOVK_C8bQ/edit?usp=share_link"",""สุราษฎร์ธานี!I437"")"),30)</f>
        <v>30</v>
      </c>
      <c r="J437" s="583">
        <f ca="1">IFERROR(__xludf.DUMMYFUNCTION("IMPORTRANGE(""https://docs.google.com/spreadsheets/d/1kC41EOXpGBFOW658Fs3oD8beYlym0-zO54WY-2Qnp9I/edit?usp=share_link"",""กระบี่!J437"")
+IMPORTRANGE(""https://docs.google.com/spreadsheets/d/1FbzMZY_f3MDiEuK7RpCQKrilJ_kpX0Wm7QBZ1L7EjIU/edit?usp=share_link"&amp;""",""ชุมพร!J437"")+IMPORTRANGE(""https://docs.google.com/spreadsheets/d/1v5sN-00LrXuhBxw4dkh2GrG_z4l5oAqOdJRBCsUyMaM/edit?usp=share_link"",""ตรัง!J437"")+IMPORTRANGE(""https://docs.google.com/spreadsheets/d/1T5rRTzFc79aSIvqnzkZNvwPstq829QYz_xALlO1Z0s8/edi"&amp;"t?usp=share_link"",""นครศรีธรรมราช!J437"")+IMPORTRANGE(""https://docs.google.com/spreadsheets/d/1BeghqumK0IvCmRd2QOy6_afsZq7ZtAGrSnVJy2u7WmY/edit?usp=share_link"",""นราธิวาส!J437"")+IMPORTRANGE(""https://docs.google.com/spreadsheets/d/1IwnW3-jjRf74MCLW-6P"&amp;"iFwMUffRQXZwZA7YM609NmRc/edit?usp=share_link"",""ปัตตานี!J437"")+IMPORTRANGE(""https://docs.google.com/spreadsheets/d/1vl4QWbWdFruual5o_wdo6ZSqXZ_it806oja4CctTLKs/edit?usp=share_link"",""พังงา!J437"")+IMPORTRANGE(""https://docs.google.com/spreadsheets/d/1"&amp;"b6QssHQp2FoAPSMKHOy273KNzAomaIKhtdlvuZ_zDNE/edit?usp=share_link"",""พัทลุง!J437"")+IMPORTRANGE(""https://docs.google.com/spreadsheets/d/1o7UZe4_OqlqtLDHrj01Z2YFRSZDf1DMy1n3XViHaxRc/edit?usp=share_link"",""ภูเก็ต!J437"")+IMPORTRANGE(""https://docs.google.c"&amp;"om/spreadsheets/d/1ctPm1vUzcUCPuOj9-eoHUD85PqINFqUB0TjdSWmR5-c/edit?usp=share_link"",""ยะลา!J437"")+IMPORTRANGE(""https://docs.google.com/spreadsheets/d/1YiDIE7Klmt8osgdapRqYWNr7iPGFSsiJqq46S7PYRE0/edit?usp=share_link"",""ระนอง!J437"")+IMPORTRANGE(""https"&amp;"://docs.google.com/spreadsheets/d/16o_4B-V7AWw_6E93bSpXj_XxVv1oVQctk-B6z1dNEWU/edit?usp=share_link"",""สงขลา!J437"")+IMPORTRANGE(""https://docs.google.com/spreadsheets/d/16cywr71Fj4fA5OGRHsZh30ZG2gwJhMAQv69oVBzYHv0/edit?usp=share_link"",""สตูล!J437"")+IMP"&amp;"ORTRANGE(""https://docs.google.com/spreadsheets/d/1vO9Sws6kMtrVtyvrAJptINXjK8TFBoX9xLYOVK_C8bQ/edit?usp=share_link"",""สุราษฎร์ธานี!J437"")"),30)</f>
        <v>30</v>
      </c>
      <c r="K437" s="497">
        <f t="shared" ref="K437:K443" ca="1" si="225">IF(I437&gt;0,J437*100/I437,0)</f>
        <v>100</v>
      </c>
      <c r="L437" s="37"/>
      <c r="M437" s="37"/>
      <c r="N437" s="37"/>
      <c r="O437" s="37"/>
      <c r="P437" s="3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20.25" customHeight="1">
      <c r="A438" s="169"/>
      <c r="B438" s="170"/>
      <c r="C438" s="170"/>
      <c r="D438" s="180" t="s">
        <v>195</v>
      </c>
      <c r="E438" s="177"/>
      <c r="F438" s="177"/>
      <c r="G438" s="178"/>
      <c r="H438" s="35" t="s">
        <v>49</v>
      </c>
      <c r="I438" s="36">
        <f ca="1">IFERROR(__xludf.DUMMYFUNCTION("IMPORTRANGE(""https://docs.google.com/spreadsheets/d/1kC41EOXpGBFOW658Fs3oD8beYlym0-zO54WY-2Qnp9I/edit?usp=share_link"",""กระบี่!I438"")
+IMPORTRANGE(""https://docs.google.com/spreadsheets/d/1FbzMZY_f3MDiEuK7RpCQKrilJ_kpX0Wm7QBZ1L7EjIU/edit?usp=share_link"&amp;""",""ชุมพร!I438"")+IMPORTRANGE(""https://docs.google.com/spreadsheets/d/1v5sN-00LrXuhBxw4dkh2GrG_z4l5oAqOdJRBCsUyMaM/edit?usp=share_link"",""ตรัง!I438"")+IMPORTRANGE(""https://docs.google.com/spreadsheets/d/1T5rRTzFc79aSIvqnzkZNvwPstq829QYz_xALlO1Z0s8/edi"&amp;"t?usp=share_link"",""นครศรีธรรมราช!I438"")+IMPORTRANGE(""https://docs.google.com/spreadsheets/d/1BeghqumK0IvCmRd2QOy6_afsZq7ZtAGrSnVJy2u7WmY/edit?usp=share_link"",""นราธิวาส!I438"")+IMPORTRANGE(""https://docs.google.com/spreadsheets/d/1IwnW3-jjRf74MCLW-6P"&amp;"iFwMUffRQXZwZA7YM609NmRc/edit?usp=share_link"",""ปัตตานี!I438"")+IMPORTRANGE(""https://docs.google.com/spreadsheets/d/1vl4QWbWdFruual5o_wdo6ZSqXZ_it806oja4CctTLKs/edit?usp=share_link"",""พังงา!I438"")+IMPORTRANGE(""https://docs.google.com/spreadsheets/d/1"&amp;"b6QssHQp2FoAPSMKHOy273KNzAomaIKhtdlvuZ_zDNE/edit?usp=share_link"",""พัทลุง!I438"")+IMPORTRANGE(""https://docs.google.com/spreadsheets/d/1o7UZe4_OqlqtLDHrj01Z2YFRSZDf1DMy1n3XViHaxRc/edit?usp=share_link"",""ภูเก็ต!I438"")+IMPORTRANGE(""https://docs.google.c"&amp;"om/spreadsheets/d/1ctPm1vUzcUCPuOj9-eoHUD85PqINFqUB0TjdSWmR5-c/edit?usp=share_link"",""ยะลา!I438"")+IMPORTRANGE(""https://docs.google.com/spreadsheets/d/1YiDIE7Klmt8osgdapRqYWNr7iPGFSsiJqq46S7PYRE0/edit?usp=share_link"",""ระนอง!I438"")+IMPORTRANGE(""https"&amp;"://docs.google.com/spreadsheets/d/16o_4B-V7AWw_6E93bSpXj_XxVv1oVQctk-B6z1dNEWU/edit?usp=share_link"",""สงขลา!I438"")+IMPORTRANGE(""https://docs.google.com/spreadsheets/d/16cywr71Fj4fA5OGRHsZh30ZG2gwJhMAQv69oVBzYHv0/edit?usp=share_link"",""สตูล!I438"")+IMP"&amp;"ORTRANGE(""https://docs.google.com/spreadsheets/d/1vO9Sws6kMtrVtyvrAJptINXjK8TFBoX9xLYOVK_C8bQ/edit?usp=share_link"",""สุราษฎร์ธานี!I438"")"),1)</f>
        <v>1</v>
      </c>
      <c r="J438" s="182">
        <f ca="1">IFERROR(__xludf.DUMMYFUNCTION("IMPORTRANGE(""https://docs.google.com/spreadsheets/d/1kC41EOXpGBFOW658Fs3oD8beYlym0-zO54WY-2Qnp9I/edit?usp=share_link"",""กระบี่!J438"")
+IMPORTRANGE(""https://docs.google.com/spreadsheets/d/1FbzMZY_f3MDiEuK7RpCQKrilJ_kpX0Wm7QBZ1L7EjIU/edit?usp=share_link"&amp;""",""ชุมพร!J438"")+IMPORTRANGE(""https://docs.google.com/spreadsheets/d/1v5sN-00LrXuhBxw4dkh2GrG_z4l5oAqOdJRBCsUyMaM/edit?usp=share_link"",""ตรัง!J438"")+IMPORTRANGE(""https://docs.google.com/spreadsheets/d/1T5rRTzFc79aSIvqnzkZNvwPstq829QYz_xALlO1Z0s8/edi"&amp;"t?usp=share_link"",""นครศรีธรรมราช!J438"")+IMPORTRANGE(""https://docs.google.com/spreadsheets/d/1BeghqumK0IvCmRd2QOy6_afsZq7ZtAGrSnVJy2u7WmY/edit?usp=share_link"",""นราธิวาส!J438"")+IMPORTRANGE(""https://docs.google.com/spreadsheets/d/1IwnW3-jjRf74MCLW-6P"&amp;"iFwMUffRQXZwZA7YM609NmRc/edit?usp=share_link"",""ปัตตานี!J438"")+IMPORTRANGE(""https://docs.google.com/spreadsheets/d/1vl4QWbWdFruual5o_wdo6ZSqXZ_it806oja4CctTLKs/edit?usp=share_link"",""พังงา!J438"")+IMPORTRANGE(""https://docs.google.com/spreadsheets/d/1"&amp;"b6QssHQp2FoAPSMKHOy273KNzAomaIKhtdlvuZ_zDNE/edit?usp=share_link"",""พัทลุง!J438"")+IMPORTRANGE(""https://docs.google.com/spreadsheets/d/1o7UZe4_OqlqtLDHrj01Z2YFRSZDf1DMy1n3XViHaxRc/edit?usp=share_link"",""ภูเก็ต!J438"")+IMPORTRANGE(""https://docs.google.c"&amp;"om/spreadsheets/d/1ctPm1vUzcUCPuOj9-eoHUD85PqINFqUB0TjdSWmR5-c/edit?usp=share_link"",""ยะลา!J438"")+IMPORTRANGE(""https://docs.google.com/spreadsheets/d/1YiDIE7Klmt8osgdapRqYWNr7iPGFSsiJqq46S7PYRE0/edit?usp=share_link"",""ระนอง!J438"")+IMPORTRANGE(""https"&amp;"://docs.google.com/spreadsheets/d/16o_4B-V7AWw_6E93bSpXj_XxVv1oVQctk-B6z1dNEWU/edit?usp=share_link"",""สงขลา!J438"")+IMPORTRANGE(""https://docs.google.com/spreadsheets/d/16cywr71Fj4fA5OGRHsZh30ZG2gwJhMAQv69oVBzYHv0/edit?usp=share_link"",""สตูล!J438"")+IMP"&amp;"ORTRANGE(""https://docs.google.com/spreadsheets/d/1vO9Sws6kMtrVtyvrAJptINXjK8TFBoX9xLYOVK_C8bQ/edit?usp=share_link"",""สุราษฎร์ธานี!J438"")"),1)</f>
        <v>1</v>
      </c>
      <c r="K438" s="37">
        <f t="shared" ca="1" si="225"/>
        <v>100</v>
      </c>
      <c r="L438" s="37"/>
      <c r="M438" s="37"/>
      <c r="N438" s="37"/>
      <c r="O438" s="37"/>
      <c r="P438" s="3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20.25" customHeight="1">
      <c r="A439" s="169"/>
      <c r="B439" s="170"/>
      <c r="C439" s="170"/>
      <c r="D439" s="180" t="s">
        <v>196</v>
      </c>
      <c r="E439" s="177"/>
      <c r="F439" s="177"/>
      <c r="G439" s="178"/>
      <c r="H439" s="35" t="s">
        <v>35</v>
      </c>
      <c r="I439" s="582">
        <f ca="1">IFERROR(__xludf.DUMMYFUNCTION("IMPORTRANGE(""https://docs.google.com/spreadsheets/d/1kC41EOXpGBFOW658Fs3oD8beYlym0-zO54WY-2Qnp9I/edit?usp=share_link"",""กระบี่!I439"")
+IMPORTRANGE(""https://docs.google.com/spreadsheets/d/1FbzMZY_f3MDiEuK7RpCQKrilJ_kpX0Wm7QBZ1L7EjIU/edit?usp=share_link"&amp;""",""ชุมพร!I439"")+IMPORTRANGE(""https://docs.google.com/spreadsheets/d/1v5sN-00LrXuhBxw4dkh2GrG_z4l5oAqOdJRBCsUyMaM/edit?usp=share_link"",""ตรัง!I439"")+IMPORTRANGE(""https://docs.google.com/spreadsheets/d/1T5rRTzFc79aSIvqnzkZNvwPstq829QYz_xALlO1Z0s8/edi"&amp;"t?usp=share_link"",""นครศรีธรรมราช!I439"")+IMPORTRANGE(""https://docs.google.com/spreadsheets/d/1BeghqumK0IvCmRd2QOy6_afsZq7ZtAGrSnVJy2u7WmY/edit?usp=share_link"",""นราธิวาส!I439"")+IMPORTRANGE(""https://docs.google.com/spreadsheets/d/1IwnW3-jjRf74MCLW-6P"&amp;"iFwMUffRQXZwZA7YM609NmRc/edit?usp=share_link"",""ปัตตานี!I439"")+IMPORTRANGE(""https://docs.google.com/spreadsheets/d/1vl4QWbWdFruual5o_wdo6ZSqXZ_it806oja4CctTLKs/edit?usp=share_link"",""พังงา!I439"")+IMPORTRANGE(""https://docs.google.com/spreadsheets/d/1"&amp;"b6QssHQp2FoAPSMKHOy273KNzAomaIKhtdlvuZ_zDNE/edit?usp=share_link"",""พัทลุง!I439"")+IMPORTRANGE(""https://docs.google.com/spreadsheets/d/1o7UZe4_OqlqtLDHrj01Z2YFRSZDf1DMy1n3XViHaxRc/edit?usp=share_link"",""ภูเก็ต!I439"")+IMPORTRANGE(""https://docs.google.c"&amp;"om/spreadsheets/d/1ctPm1vUzcUCPuOj9-eoHUD85PqINFqUB0TjdSWmR5-c/edit?usp=share_link"",""ยะลา!I439"")+IMPORTRANGE(""https://docs.google.com/spreadsheets/d/1YiDIE7Klmt8osgdapRqYWNr7iPGFSsiJqq46S7PYRE0/edit?usp=share_link"",""ระนอง!I439"")+IMPORTRANGE(""https"&amp;"://docs.google.com/spreadsheets/d/16o_4B-V7AWw_6E93bSpXj_XxVv1oVQctk-B6z1dNEWU/edit?usp=share_link"",""สงขลา!I439"")+IMPORTRANGE(""https://docs.google.com/spreadsheets/d/16cywr71Fj4fA5OGRHsZh30ZG2gwJhMAQv69oVBzYHv0/edit?usp=share_link"",""สตูล!I439"")+IMP"&amp;"ORTRANGE(""https://docs.google.com/spreadsheets/d/1vO9Sws6kMtrVtyvrAJptINXjK8TFBoX9xLYOVK_C8bQ/edit?usp=share_link"",""สุราษฎร์ธานี!I439"")"),220)</f>
        <v>220</v>
      </c>
      <c r="J439" s="583">
        <f ca="1">IFERROR(__xludf.DUMMYFUNCTION("IMPORTRANGE(""https://docs.google.com/spreadsheets/d/1kC41EOXpGBFOW658Fs3oD8beYlym0-zO54WY-2Qnp9I/edit?usp=share_link"",""กระบี่!J439"")
+IMPORTRANGE(""https://docs.google.com/spreadsheets/d/1FbzMZY_f3MDiEuK7RpCQKrilJ_kpX0Wm7QBZ1L7EjIU/edit?usp=share_link"&amp;""",""ชุมพร!J439"")+IMPORTRANGE(""https://docs.google.com/spreadsheets/d/1v5sN-00LrXuhBxw4dkh2GrG_z4l5oAqOdJRBCsUyMaM/edit?usp=share_link"",""ตรัง!J439"")+IMPORTRANGE(""https://docs.google.com/spreadsheets/d/1T5rRTzFc79aSIvqnzkZNvwPstq829QYz_xALlO1Z0s8/edi"&amp;"t?usp=share_link"",""นครศรีธรรมราช!J439"")+IMPORTRANGE(""https://docs.google.com/spreadsheets/d/1BeghqumK0IvCmRd2QOy6_afsZq7ZtAGrSnVJy2u7WmY/edit?usp=share_link"",""นราธิวาส!J439"")+IMPORTRANGE(""https://docs.google.com/spreadsheets/d/1IwnW3-jjRf74MCLW-6P"&amp;"iFwMUffRQXZwZA7YM609NmRc/edit?usp=share_link"",""ปัตตานี!J439"")+IMPORTRANGE(""https://docs.google.com/spreadsheets/d/1vl4QWbWdFruual5o_wdo6ZSqXZ_it806oja4CctTLKs/edit?usp=share_link"",""พังงา!J439"")+IMPORTRANGE(""https://docs.google.com/spreadsheets/d/1"&amp;"b6QssHQp2FoAPSMKHOy273KNzAomaIKhtdlvuZ_zDNE/edit?usp=share_link"",""พัทลุง!J439"")+IMPORTRANGE(""https://docs.google.com/spreadsheets/d/1o7UZe4_OqlqtLDHrj01Z2YFRSZDf1DMy1n3XViHaxRc/edit?usp=share_link"",""ภูเก็ต!J439"")+IMPORTRANGE(""https://docs.google.c"&amp;"om/spreadsheets/d/1ctPm1vUzcUCPuOj9-eoHUD85PqINFqUB0TjdSWmR5-c/edit?usp=share_link"",""ยะลา!J439"")+IMPORTRANGE(""https://docs.google.com/spreadsheets/d/1YiDIE7Klmt8osgdapRqYWNr7iPGFSsiJqq46S7PYRE0/edit?usp=share_link"",""ระนอง!J439"")+IMPORTRANGE(""https"&amp;"://docs.google.com/spreadsheets/d/16o_4B-V7AWw_6E93bSpXj_XxVv1oVQctk-B6z1dNEWU/edit?usp=share_link"",""สงขลา!J439"")+IMPORTRANGE(""https://docs.google.com/spreadsheets/d/16cywr71Fj4fA5OGRHsZh30ZG2gwJhMAQv69oVBzYHv0/edit?usp=share_link"",""สตูล!J439"")+IMP"&amp;"ORTRANGE(""https://docs.google.com/spreadsheets/d/1vO9Sws6kMtrVtyvrAJptINXjK8TFBoX9xLYOVK_C8bQ/edit?usp=share_link"",""สุราษฎร์ธานี!J439"")"),220)</f>
        <v>220</v>
      </c>
      <c r="K439" s="497">
        <f t="shared" ca="1" si="225"/>
        <v>100</v>
      </c>
      <c r="L439" s="37"/>
      <c r="M439" s="37"/>
      <c r="N439" s="37"/>
      <c r="O439" s="37"/>
      <c r="P439" s="3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20.25" customHeight="1">
      <c r="A440" s="169"/>
      <c r="B440" s="170"/>
      <c r="C440" s="170"/>
      <c r="D440" s="180" t="s">
        <v>197</v>
      </c>
      <c r="E440" s="177"/>
      <c r="F440" s="177"/>
      <c r="G440" s="178"/>
      <c r="H440" s="35" t="s">
        <v>49</v>
      </c>
      <c r="I440" s="36">
        <f ca="1">IFERROR(__xludf.DUMMYFUNCTION("IMPORTRANGE(""https://docs.google.com/spreadsheets/d/1kC41EOXpGBFOW658Fs3oD8beYlym0-zO54WY-2Qnp9I/edit?usp=share_link"",""กระบี่!I440"")
+IMPORTRANGE(""https://docs.google.com/spreadsheets/d/1FbzMZY_f3MDiEuK7RpCQKrilJ_kpX0Wm7QBZ1L7EjIU/edit?usp=share_link"&amp;""",""ชุมพร!I440"")+IMPORTRANGE(""https://docs.google.com/spreadsheets/d/1v5sN-00LrXuhBxw4dkh2GrG_z4l5oAqOdJRBCsUyMaM/edit?usp=share_link"",""ตรัง!I440"")+IMPORTRANGE(""https://docs.google.com/spreadsheets/d/1T5rRTzFc79aSIvqnzkZNvwPstq829QYz_xALlO1Z0s8/edi"&amp;"t?usp=share_link"",""นครศรีธรรมราช!I440"")+IMPORTRANGE(""https://docs.google.com/spreadsheets/d/1BeghqumK0IvCmRd2QOy6_afsZq7ZtAGrSnVJy2u7WmY/edit?usp=share_link"",""นราธิวาส!I440"")+IMPORTRANGE(""https://docs.google.com/spreadsheets/d/1IwnW3-jjRf74MCLW-6P"&amp;"iFwMUffRQXZwZA7YM609NmRc/edit?usp=share_link"",""ปัตตานี!I440"")+IMPORTRANGE(""https://docs.google.com/spreadsheets/d/1vl4QWbWdFruual5o_wdo6ZSqXZ_it806oja4CctTLKs/edit?usp=share_link"",""พังงา!I440"")+IMPORTRANGE(""https://docs.google.com/spreadsheets/d/1"&amp;"b6QssHQp2FoAPSMKHOy273KNzAomaIKhtdlvuZ_zDNE/edit?usp=share_link"",""พัทลุง!I440"")+IMPORTRANGE(""https://docs.google.com/spreadsheets/d/1o7UZe4_OqlqtLDHrj01Z2YFRSZDf1DMy1n3XViHaxRc/edit?usp=share_link"",""ภูเก็ต!I440"")+IMPORTRANGE(""https://docs.google.c"&amp;"om/spreadsheets/d/1ctPm1vUzcUCPuOj9-eoHUD85PqINFqUB0TjdSWmR5-c/edit?usp=share_link"",""ยะลา!I440"")+IMPORTRANGE(""https://docs.google.com/spreadsheets/d/1YiDIE7Klmt8osgdapRqYWNr7iPGFSsiJqq46S7PYRE0/edit?usp=share_link"",""ระนอง!I440"")+IMPORTRANGE(""https"&amp;"://docs.google.com/spreadsheets/d/16o_4B-V7AWw_6E93bSpXj_XxVv1oVQctk-B6z1dNEWU/edit?usp=share_link"",""สงขลา!I440"")+IMPORTRANGE(""https://docs.google.com/spreadsheets/d/16cywr71Fj4fA5OGRHsZh30ZG2gwJhMAQv69oVBzYHv0/edit?usp=share_link"",""สตูล!I440"")+IMP"&amp;"ORTRANGE(""https://docs.google.com/spreadsheets/d/1vO9Sws6kMtrVtyvrAJptINXjK8TFBoX9xLYOVK_C8bQ/edit?usp=share_link"",""สุราษฎร์ธานี!I440"")"),14)</f>
        <v>14</v>
      </c>
      <c r="J440" s="182">
        <f ca="1">IFERROR(__xludf.DUMMYFUNCTION("IMPORTRANGE(""https://docs.google.com/spreadsheets/d/1kC41EOXpGBFOW658Fs3oD8beYlym0-zO54WY-2Qnp9I/edit?usp=share_link"",""กระบี่!J440"")
+IMPORTRANGE(""https://docs.google.com/spreadsheets/d/1FbzMZY_f3MDiEuK7RpCQKrilJ_kpX0Wm7QBZ1L7EjIU/edit?usp=share_link"&amp;""",""ชุมพร!J440"")+IMPORTRANGE(""https://docs.google.com/spreadsheets/d/1v5sN-00LrXuhBxw4dkh2GrG_z4l5oAqOdJRBCsUyMaM/edit?usp=share_link"",""ตรัง!J440"")+IMPORTRANGE(""https://docs.google.com/spreadsheets/d/1T5rRTzFc79aSIvqnzkZNvwPstq829QYz_xALlO1Z0s8/edi"&amp;"t?usp=share_link"",""นครศรีธรรมราช!J440"")+IMPORTRANGE(""https://docs.google.com/spreadsheets/d/1BeghqumK0IvCmRd2QOy6_afsZq7ZtAGrSnVJy2u7WmY/edit?usp=share_link"",""นราธิวาส!J440"")+IMPORTRANGE(""https://docs.google.com/spreadsheets/d/1IwnW3-jjRf74MCLW-6P"&amp;"iFwMUffRQXZwZA7YM609NmRc/edit?usp=share_link"",""ปัตตานี!J440"")+IMPORTRANGE(""https://docs.google.com/spreadsheets/d/1vl4QWbWdFruual5o_wdo6ZSqXZ_it806oja4CctTLKs/edit?usp=share_link"",""พังงา!J440"")+IMPORTRANGE(""https://docs.google.com/spreadsheets/d/1"&amp;"b6QssHQp2FoAPSMKHOy273KNzAomaIKhtdlvuZ_zDNE/edit?usp=share_link"",""พัทลุง!J440"")+IMPORTRANGE(""https://docs.google.com/spreadsheets/d/1o7UZe4_OqlqtLDHrj01Z2YFRSZDf1DMy1n3XViHaxRc/edit?usp=share_link"",""ภูเก็ต!J440"")+IMPORTRANGE(""https://docs.google.c"&amp;"om/spreadsheets/d/1ctPm1vUzcUCPuOj9-eoHUD85PqINFqUB0TjdSWmR5-c/edit?usp=share_link"",""ยะลา!J440"")+IMPORTRANGE(""https://docs.google.com/spreadsheets/d/1YiDIE7Klmt8osgdapRqYWNr7iPGFSsiJqq46S7PYRE0/edit?usp=share_link"",""ระนอง!J440"")+IMPORTRANGE(""https"&amp;"://docs.google.com/spreadsheets/d/16o_4B-V7AWw_6E93bSpXj_XxVv1oVQctk-B6z1dNEWU/edit?usp=share_link"",""สงขลา!J440"")+IMPORTRANGE(""https://docs.google.com/spreadsheets/d/16cywr71Fj4fA5OGRHsZh30ZG2gwJhMAQv69oVBzYHv0/edit?usp=share_link"",""สตูล!J440"")+IMP"&amp;"ORTRANGE(""https://docs.google.com/spreadsheets/d/1vO9Sws6kMtrVtyvrAJptINXjK8TFBoX9xLYOVK_C8bQ/edit?usp=share_link"",""สุราษฎร์ธานี!J440"")"),14)</f>
        <v>14</v>
      </c>
      <c r="K440" s="37">
        <f t="shared" ca="1" si="225"/>
        <v>100</v>
      </c>
      <c r="L440" s="37"/>
      <c r="M440" s="37"/>
      <c r="N440" s="37"/>
      <c r="O440" s="37"/>
      <c r="P440" s="3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20.25" customHeight="1">
      <c r="A441" s="169"/>
      <c r="B441" s="170"/>
      <c r="C441" s="170"/>
      <c r="D441" s="180" t="s">
        <v>198</v>
      </c>
      <c r="E441" s="177"/>
      <c r="F441" s="177"/>
      <c r="G441" s="178"/>
      <c r="H441" s="35" t="s">
        <v>35</v>
      </c>
      <c r="I441" s="36">
        <f ca="1">IFERROR(__xludf.DUMMYFUNCTION("IMPORTRANGE(""https://docs.google.com/spreadsheets/d/1kC41EOXpGBFOW658Fs3oD8beYlym0-zO54WY-2Qnp9I/edit?usp=share_link"",""กระบี่!I441"")
+IMPORTRANGE(""https://docs.google.com/spreadsheets/d/1FbzMZY_f3MDiEuK7RpCQKrilJ_kpX0Wm7QBZ1L7EjIU/edit?usp=share_link"&amp;""",""ชุมพร!I441"")+IMPORTRANGE(""https://docs.google.com/spreadsheets/d/1v5sN-00LrXuhBxw4dkh2GrG_z4l5oAqOdJRBCsUyMaM/edit?usp=share_link"",""ตรัง!I441"")+IMPORTRANGE(""https://docs.google.com/spreadsheets/d/1T5rRTzFc79aSIvqnzkZNvwPstq829QYz_xALlO1Z0s8/edi"&amp;"t?usp=share_link"",""นครศรีธรรมราช!I441"")+IMPORTRANGE(""https://docs.google.com/spreadsheets/d/1BeghqumK0IvCmRd2QOy6_afsZq7ZtAGrSnVJy2u7WmY/edit?usp=share_link"",""นราธิวาส!I441"")+IMPORTRANGE(""https://docs.google.com/spreadsheets/d/1IwnW3-jjRf74MCLW-6P"&amp;"iFwMUffRQXZwZA7YM609NmRc/edit?usp=share_link"",""ปัตตานี!I441"")+IMPORTRANGE(""https://docs.google.com/spreadsheets/d/1vl4QWbWdFruual5o_wdo6ZSqXZ_it806oja4CctTLKs/edit?usp=share_link"",""พังงา!I441"")+IMPORTRANGE(""https://docs.google.com/spreadsheets/d/1"&amp;"b6QssHQp2FoAPSMKHOy273KNzAomaIKhtdlvuZ_zDNE/edit?usp=share_link"",""พัทลุง!I441"")+IMPORTRANGE(""https://docs.google.com/spreadsheets/d/1o7UZe4_OqlqtLDHrj01Z2YFRSZDf1DMy1n3XViHaxRc/edit?usp=share_link"",""ภูเก็ต!I441"")+IMPORTRANGE(""https://docs.google.c"&amp;"om/spreadsheets/d/1ctPm1vUzcUCPuOj9-eoHUD85PqINFqUB0TjdSWmR5-c/edit?usp=share_link"",""ยะลา!I441"")+IMPORTRANGE(""https://docs.google.com/spreadsheets/d/1YiDIE7Klmt8osgdapRqYWNr7iPGFSsiJqq46S7PYRE0/edit?usp=share_link"",""ระนอง!I441"")+IMPORTRANGE(""https"&amp;"://docs.google.com/spreadsheets/d/16o_4B-V7AWw_6E93bSpXj_XxVv1oVQctk-B6z1dNEWU/edit?usp=share_link"",""สงขลา!I441"")+IMPORTRANGE(""https://docs.google.com/spreadsheets/d/16cywr71Fj4fA5OGRHsZh30ZG2gwJhMAQv69oVBzYHv0/edit?usp=share_link"",""สตูล!I441"")+IMP"&amp;"ORTRANGE(""https://docs.google.com/spreadsheets/d/1vO9Sws6kMtrVtyvrAJptINXjK8TFBoX9xLYOVK_C8bQ/edit?usp=share_link"",""สุราษฎร์ธานี!I441"")"),0)</f>
        <v>0</v>
      </c>
      <c r="J441" s="269">
        <v>0</v>
      </c>
      <c r="K441" s="37">
        <f t="shared" ca="1" si="225"/>
        <v>0</v>
      </c>
      <c r="L441" s="37"/>
      <c r="M441" s="37"/>
      <c r="N441" s="37"/>
      <c r="O441" s="37"/>
      <c r="P441" s="3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20.25" customHeight="1">
      <c r="A442" s="584">
        <v>2</v>
      </c>
      <c r="B442" s="585" t="s">
        <v>199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226">I460</f>
        <v>255</v>
      </c>
      <c r="J442" s="589">
        <f t="shared" ca="1" si="226"/>
        <v>255</v>
      </c>
      <c r="K442" s="590">
        <f t="shared" ca="1" si="225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20.25" customHeight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227">I462</f>
        <v>820</v>
      </c>
      <c r="J443" s="569">
        <f t="shared" ca="1" si="227"/>
        <v>820</v>
      </c>
      <c r="K443" s="570">
        <f t="shared" ca="1" si="225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20.25" customHeight="1">
      <c r="A444" s="596"/>
      <c r="B444" s="575"/>
      <c r="C444" s="575" t="s">
        <v>16</v>
      </c>
      <c r="D444" s="887" t="s">
        <v>17</v>
      </c>
      <c r="E444" s="888"/>
      <c r="F444" s="888"/>
      <c r="G444" s="188"/>
      <c r="H444" s="597" t="s">
        <v>12</v>
      </c>
      <c r="I444" s="36"/>
      <c r="J444" s="36"/>
      <c r="K444" s="37"/>
      <c r="L444" s="194">
        <f t="shared" ref="L444:N444" ca="1" si="228">L445+L446</f>
        <v>2091160</v>
      </c>
      <c r="M444" s="194">
        <f t="shared" ca="1" si="228"/>
        <v>2156322.25</v>
      </c>
      <c r="N444" s="194">
        <f t="shared" ca="1" si="228"/>
        <v>2156322.25</v>
      </c>
      <c r="O444" s="194">
        <f t="shared" ref="O444:O449" ca="1" si="229">IF(L444&gt;0,N444*100/L444,0)</f>
        <v>103.11608150500201</v>
      </c>
      <c r="P444" s="194">
        <f t="shared" ref="P444:P449" ca="1" si="230">IF(M444&gt;0,N444*100/M444,0)</f>
        <v>100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20.25" hidden="1" customHeight="1">
      <c r="A445" s="598"/>
      <c r="B445" s="599"/>
      <c r="C445" s="599"/>
      <c r="D445" s="600"/>
      <c r="E445" s="601" t="s">
        <v>184</v>
      </c>
      <c r="F445" s="599"/>
      <c r="G445" s="602"/>
      <c r="H445" s="164" t="s">
        <v>12</v>
      </c>
      <c r="I445" s="43"/>
      <c r="J445" s="43"/>
      <c r="K445" s="44"/>
      <c r="L445" s="44">
        <f t="shared" ref="L445:N445" si="231">L448+L455</f>
        <v>0</v>
      </c>
      <c r="M445" s="44">
        <f t="shared" si="231"/>
        <v>0</v>
      </c>
      <c r="N445" s="44">
        <f t="shared" si="231"/>
        <v>0</v>
      </c>
      <c r="O445" s="44">
        <f t="shared" si="229"/>
        <v>0</v>
      </c>
      <c r="P445" s="44">
        <f t="shared" si="230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20.25" hidden="1" customHeight="1">
      <c r="A446" s="598"/>
      <c r="B446" s="604"/>
      <c r="C446" s="599"/>
      <c r="D446" s="600"/>
      <c r="E446" s="601" t="s">
        <v>185</v>
      </c>
      <c r="F446" s="599"/>
      <c r="G446" s="602"/>
      <c r="H446" s="164" t="s">
        <v>12</v>
      </c>
      <c r="I446" s="43"/>
      <c r="J446" s="43"/>
      <c r="K446" s="44"/>
      <c r="L446" s="44">
        <f t="shared" ref="L446:N446" ca="1" si="232">L449+L456</f>
        <v>2091160</v>
      </c>
      <c r="M446" s="44">
        <f t="shared" ca="1" si="232"/>
        <v>2156322.25</v>
      </c>
      <c r="N446" s="44">
        <f t="shared" ca="1" si="232"/>
        <v>2156322.25</v>
      </c>
      <c r="O446" s="44">
        <f t="shared" ca="1" si="229"/>
        <v>103.11608150500201</v>
      </c>
      <c r="P446" s="44">
        <f t="shared" ca="1" si="230"/>
        <v>100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20.25" customHeight="1">
      <c r="A447" s="596"/>
      <c r="B447" s="574"/>
      <c r="C447" s="575"/>
      <c r="D447" s="605" t="s">
        <v>20</v>
      </c>
      <c r="E447" s="575"/>
      <c r="F447" s="575"/>
      <c r="G447" s="188"/>
      <c r="H447" s="160" t="s">
        <v>12</v>
      </c>
      <c r="I447" s="161"/>
      <c r="J447" s="161"/>
      <c r="K447" s="162"/>
      <c r="L447" s="37">
        <f t="shared" ref="L447:N447" ca="1" si="233">L448+L449</f>
        <v>2091160</v>
      </c>
      <c r="M447" s="37">
        <f t="shared" ca="1" si="233"/>
        <v>2156322.25</v>
      </c>
      <c r="N447" s="37">
        <f t="shared" ca="1" si="233"/>
        <v>2156322.25</v>
      </c>
      <c r="O447" s="37">
        <f t="shared" ca="1" si="229"/>
        <v>103.11608150500201</v>
      </c>
      <c r="P447" s="37">
        <f t="shared" ca="1" si="230"/>
        <v>100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20.25" hidden="1" customHeight="1">
      <c r="A448" s="598"/>
      <c r="B448" s="604"/>
      <c r="C448" s="599"/>
      <c r="D448" s="600"/>
      <c r="E448" s="601" t="s">
        <v>184</v>
      </c>
      <c r="F448" s="599"/>
      <c r="G448" s="602"/>
      <c r="H448" s="164" t="s">
        <v>12</v>
      </c>
      <c r="I448" s="43"/>
      <c r="J448" s="43"/>
      <c r="K448" s="44"/>
      <c r="L448" s="92">
        <v>0</v>
      </c>
      <c r="M448" s="92">
        <v>0</v>
      </c>
      <c r="N448" s="92">
        <v>0</v>
      </c>
      <c r="O448" s="44">
        <f t="shared" si="229"/>
        <v>0</v>
      </c>
      <c r="P448" s="44">
        <f t="shared" si="230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20.25" hidden="1" customHeight="1">
      <c r="A449" s="598"/>
      <c r="B449" s="604"/>
      <c r="C449" s="599"/>
      <c r="D449" s="600"/>
      <c r="E449" s="601" t="s">
        <v>185</v>
      </c>
      <c r="F449" s="599"/>
      <c r="G449" s="602"/>
      <c r="H449" s="164" t="s">
        <v>12</v>
      </c>
      <c r="I449" s="43"/>
      <c r="J449" s="43"/>
      <c r="K449" s="44"/>
      <c r="L449" s="44">
        <f ca="1">IFERROR(__xludf.DUMMYFUNCTION("IMPORTRANGE(""https://docs.google.com/spreadsheets/d/1kC41EOXpGBFOW658Fs3oD8beYlym0-zO54WY-2Qnp9I/edit?usp=share_link"",""กระบี่!L449"")
+IMPORTRANGE(""https://docs.google.com/spreadsheets/d/1FbzMZY_f3MDiEuK7RpCQKrilJ_kpX0Wm7QBZ1L7EjIU/edit?usp=share_link"&amp;""",""ชุมพร!L449"")+IMPORTRANGE(""https://docs.google.com/spreadsheets/d/1v5sN-00LrXuhBxw4dkh2GrG_z4l5oAqOdJRBCsUyMaM/edit?usp=share_link"",""ตรัง!L449"")+IMPORTRANGE(""https://docs.google.com/spreadsheets/d/1T5rRTzFc79aSIvqnzkZNvwPstq829QYz_xALlO1Z0s8/edi"&amp;"t?usp=share_link"",""นครศรีธรรมราช!L449"")+IMPORTRANGE(""https://docs.google.com/spreadsheets/d/1BeghqumK0IvCmRd2QOy6_afsZq7ZtAGrSnVJy2u7WmY/edit?usp=share_link"",""นราธิวาส!L449"")+IMPORTRANGE(""https://docs.google.com/spreadsheets/d/1IwnW3-jjRf74MCLW-6P"&amp;"iFwMUffRQXZwZA7YM609NmRc/edit?usp=share_link"",""ปัตตานี!L449"")+IMPORTRANGE(""https://docs.google.com/spreadsheets/d/1vl4QWbWdFruual5o_wdo6ZSqXZ_it806oja4CctTLKs/edit?usp=share_link"",""พังงา!L449"")+IMPORTRANGE(""https://docs.google.com/spreadsheets/d/1"&amp;"b6QssHQp2FoAPSMKHOy273KNzAomaIKhtdlvuZ_zDNE/edit?usp=share_link"",""พัทลุง!L449"")+IMPORTRANGE(""https://docs.google.com/spreadsheets/d/1o7UZe4_OqlqtLDHrj01Z2YFRSZDf1DMy1n3XViHaxRc/edit?usp=share_link"",""ภูเก็ต!L449"")+IMPORTRANGE(""https://docs.google.c"&amp;"om/spreadsheets/d/1ctPm1vUzcUCPuOj9-eoHUD85PqINFqUB0TjdSWmR5-c/edit?usp=share_link"",""ยะลา!L449"")+IMPORTRANGE(""https://docs.google.com/spreadsheets/d/1YiDIE7Klmt8osgdapRqYWNr7iPGFSsiJqq46S7PYRE0/edit?usp=share_link"",""ระนอง!L449"")+IMPORTRANGE(""https"&amp;"://docs.google.com/spreadsheets/d/16o_4B-V7AWw_6E93bSpXj_XxVv1oVQctk-B6z1dNEWU/edit?usp=share_link"",""สงขลา!L449"")+IMPORTRANGE(""https://docs.google.com/spreadsheets/d/16cywr71Fj4fA5OGRHsZh30ZG2gwJhMAQv69oVBzYHv0/edit?usp=share_link"",""สตูล!L449"")+IMP"&amp;"ORTRANGE(""https://docs.google.com/spreadsheets/d/1vO9Sws6kMtrVtyvrAJptINXjK8TFBoX9xLYOVK_C8bQ/edit?usp=share_link"",""สุราษฎร์ธานี!L449"")"),2091160)</f>
        <v>2091160</v>
      </c>
      <c r="M449" s="92">
        <f ca="1">IFERROR(__xludf.DUMMYFUNCTION("IMPORTRANGE(""https://docs.google.com/spreadsheets/d/1kC41EOXpGBFOW658Fs3oD8beYlym0-zO54WY-2Qnp9I/edit?usp=share_link"",""กระบี่!M449"")
+IMPORTRANGE(""https://docs.google.com/spreadsheets/d/1FbzMZY_f3MDiEuK7RpCQKrilJ_kpX0Wm7QBZ1L7EjIU/edit?usp=share_link"&amp;""",""ชุมพร!M449"")+IMPORTRANGE(""https://docs.google.com/spreadsheets/d/1v5sN-00LrXuhBxw4dkh2GrG_z4l5oAqOdJRBCsUyMaM/edit?usp=share_link"",""ตรัง!M449"")+IMPORTRANGE(""https://docs.google.com/spreadsheets/d/1T5rRTzFc79aSIvqnzkZNvwPstq829QYz_xALlO1Z0s8/edi"&amp;"t?usp=share_link"",""นครศรีธรรมราช!M449"")+IMPORTRANGE(""https://docs.google.com/spreadsheets/d/1BeghqumK0IvCmRd2QOy6_afsZq7ZtAGrSnVJy2u7WmY/edit?usp=share_link"",""นราธิวาส!M449"")+IMPORTRANGE(""https://docs.google.com/spreadsheets/d/1IwnW3-jjRf74MCLW-6P"&amp;"iFwMUffRQXZwZA7YM609NmRc/edit?usp=share_link"",""ปัตตานี!M449"")+IMPORTRANGE(""https://docs.google.com/spreadsheets/d/1vl4QWbWdFruual5o_wdo6ZSqXZ_it806oja4CctTLKs/edit?usp=share_link"",""พังงา!M449"")+IMPORTRANGE(""https://docs.google.com/spreadsheets/d/1"&amp;"b6QssHQp2FoAPSMKHOy273KNzAomaIKhtdlvuZ_zDNE/edit?usp=share_link"",""พัทลุง!M449"")+IMPORTRANGE(""https://docs.google.com/spreadsheets/d/1o7UZe4_OqlqtLDHrj01Z2YFRSZDf1DMy1n3XViHaxRc/edit?usp=share_link"",""ภูเก็ต!M449"")+IMPORTRANGE(""https://docs.google.c"&amp;"om/spreadsheets/d/1ctPm1vUzcUCPuOj9-eoHUD85PqINFqUB0TjdSWmR5-c/edit?usp=share_link"",""ยะลา!M449"")+IMPORTRANGE(""https://docs.google.com/spreadsheets/d/1YiDIE7Klmt8osgdapRqYWNr7iPGFSsiJqq46S7PYRE0/edit?usp=share_link"",""ระนอง!M449"")+IMPORTRANGE(""https"&amp;"://docs.google.com/spreadsheets/d/16o_4B-V7AWw_6E93bSpXj_XxVv1oVQctk-B6z1dNEWU/edit?usp=share_link"",""สงขลา!M449"")+IMPORTRANGE(""https://docs.google.com/spreadsheets/d/16cywr71Fj4fA5OGRHsZh30ZG2gwJhMAQv69oVBzYHv0/edit?usp=share_link"",""สตูล!M449"")+IMP"&amp;"ORTRANGE(""https://docs.google.com/spreadsheets/d/1vO9Sws6kMtrVtyvrAJptINXjK8TFBoX9xLYOVK_C8bQ/edit?usp=share_link"",""สุราษฎร์ธานี!M449"")"),2156322.25)</f>
        <v>2156322.25</v>
      </c>
      <c r="N449" s="44">
        <f ca="1">N450+N451+N452+N453</f>
        <v>2156322.25</v>
      </c>
      <c r="O449" s="44">
        <f t="shared" ca="1" si="229"/>
        <v>103.11608150500201</v>
      </c>
      <c r="P449" s="44">
        <f t="shared" ca="1" si="230"/>
        <v>100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20.25" customHeight="1">
      <c r="A450" s="573"/>
      <c r="B450" s="574"/>
      <c r="C450" s="575"/>
      <c r="D450" s="575"/>
      <c r="E450" s="575"/>
      <c r="F450" s="576" t="s">
        <v>186</v>
      </c>
      <c r="G450" s="188"/>
      <c r="H450" s="160" t="s">
        <v>12</v>
      </c>
      <c r="I450" s="36"/>
      <c r="J450" s="36"/>
      <c r="K450" s="37"/>
      <c r="L450" s="37"/>
      <c r="M450" s="37"/>
      <c r="N450" s="282">
        <f ca="1">IFERROR(__xludf.DUMMYFUNCTION("IMPORTRANGE(""https://docs.google.com/spreadsheets/d/1kC41EOXpGBFOW658Fs3oD8beYlym0-zO54WY-2Qnp9I/edit?usp=share_link"",""กระบี่!N450"")
+IMPORTRANGE(""https://docs.google.com/spreadsheets/d/1FbzMZY_f3MDiEuK7RpCQKrilJ_kpX0Wm7QBZ1L7EjIU/edit?usp=share_link"&amp;""",""ชุมพร!N450"")+IMPORTRANGE(""https://docs.google.com/spreadsheets/d/1v5sN-00LrXuhBxw4dkh2GrG_z4l5oAqOdJRBCsUyMaM/edit?usp=share_link"",""ตรัง!N450"")+IMPORTRANGE(""https://docs.google.com/spreadsheets/d/1T5rRTzFc79aSIvqnzkZNvwPstq829QYz_xALlO1Z0s8/edi"&amp;"t?usp=share_link"",""นครศรีธรรมราช!N450"")+IMPORTRANGE(""https://docs.google.com/spreadsheets/d/1BeghqumK0IvCmRd2QOy6_afsZq7ZtAGrSnVJy2u7WmY/edit?usp=share_link"",""นราธิวาส!N450"")+IMPORTRANGE(""https://docs.google.com/spreadsheets/d/1IwnW3-jjRf74MCLW-6P"&amp;"iFwMUffRQXZwZA7YM609NmRc/edit?usp=share_link"",""ปัตตานี!N450"")+IMPORTRANGE(""https://docs.google.com/spreadsheets/d/1vl4QWbWdFruual5o_wdo6ZSqXZ_it806oja4CctTLKs/edit?usp=share_link"",""พังงา!N450"")+IMPORTRANGE(""https://docs.google.com/spreadsheets/d/1"&amp;"b6QssHQp2FoAPSMKHOy273KNzAomaIKhtdlvuZ_zDNE/edit?usp=share_link"",""พัทลุง!N450"")+IMPORTRANGE(""https://docs.google.com/spreadsheets/d/1o7UZe4_OqlqtLDHrj01Z2YFRSZDf1DMy1n3XViHaxRc/edit?usp=share_link"",""ภูเก็ต!N450"")+IMPORTRANGE(""https://docs.google.c"&amp;"om/spreadsheets/d/1ctPm1vUzcUCPuOj9-eoHUD85PqINFqUB0TjdSWmR5-c/edit?usp=share_link"",""ยะลา!N450"")+IMPORTRANGE(""https://docs.google.com/spreadsheets/d/1YiDIE7Klmt8osgdapRqYWNr7iPGFSsiJqq46S7PYRE0/edit?usp=share_link"",""ระนอง!N450"")+IMPORTRANGE(""https"&amp;"://docs.google.com/spreadsheets/d/16o_4B-V7AWw_6E93bSpXj_XxVv1oVQctk-B6z1dNEWU/edit?usp=share_link"",""สงขลา!N450"")+IMPORTRANGE(""https://docs.google.com/spreadsheets/d/16cywr71Fj4fA5OGRHsZh30ZG2gwJhMAQv69oVBzYHv0/edit?usp=share_link"",""สตูล!N450"")+IMP"&amp;"ORTRANGE(""https://docs.google.com/spreadsheets/d/1vO9Sws6kMtrVtyvrAJptINXjK8TFBoX9xLYOVK_C8bQ/edit?usp=share_link"",""สุราษฎร์ธานี!N450"")"),444492.3)</f>
        <v>444492.3</v>
      </c>
      <c r="O450" s="37"/>
      <c r="P450" s="37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20.25" customHeight="1">
      <c r="A451" s="573"/>
      <c r="B451" s="574"/>
      <c r="C451" s="575"/>
      <c r="D451" s="575"/>
      <c r="E451" s="575"/>
      <c r="F451" s="576" t="s">
        <v>187</v>
      </c>
      <c r="G451" s="188"/>
      <c r="H451" s="160" t="s">
        <v>12</v>
      </c>
      <c r="I451" s="36"/>
      <c r="J451" s="36"/>
      <c r="K451" s="37"/>
      <c r="L451" s="37"/>
      <c r="M451" s="37"/>
      <c r="N451" s="282">
        <f ca="1">IFERROR(__xludf.DUMMYFUNCTION("IMPORTRANGE(""https://docs.google.com/spreadsheets/d/1kC41EOXpGBFOW658Fs3oD8beYlym0-zO54WY-2Qnp9I/edit?usp=share_link"",""กระบี่!N451"")
+IMPORTRANGE(""https://docs.google.com/spreadsheets/d/1FbzMZY_f3MDiEuK7RpCQKrilJ_kpX0Wm7QBZ1L7EjIU/edit?usp=share_link"&amp;""",""ชุมพร!N451"")+IMPORTRANGE(""https://docs.google.com/spreadsheets/d/1v5sN-00LrXuhBxw4dkh2GrG_z4l5oAqOdJRBCsUyMaM/edit?usp=share_link"",""ตรัง!N451"")+IMPORTRANGE(""https://docs.google.com/spreadsheets/d/1T5rRTzFc79aSIvqnzkZNvwPstq829QYz_xALlO1Z0s8/edi"&amp;"t?usp=share_link"",""นครศรีธรรมราช!N451"")+IMPORTRANGE(""https://docs.google.com/spreadsheets/d/1BeghqumK0IvCmRd2QOy6_afsZq7ZtAGrSnVJy2u7WmY/edit?usp=share_link"",""นราธิวาส!N451"")+IMPORTRANGE(""https://docs.google.com/spreadsheets/d/1IwnW3-jjRf74MCLW-6P"&amp;"iFwMUffRQXZwZA7YM609NmRc/edit?usp=share_link"",""ปัตตานี!N451"")+IMPORTRANGE(""https://docs.google.com/spreadsheets/d/1vl4QWbWdFruual5o_wdo6ZSqXZ_it806oja4CctTLKs/edit?usp=share_link"",""พังงา!N451"")+IMPORTRANGE(""https://docs.google.com/spreadsheets/d/1"&amp;"b6QssHQp2FoAPSMKHOy273KNzAomaIKhtdlvuZ_zDNE/edit?usp=share_link"",""พัทลุง!N451"")+IMPORTRANGE(""https://docs.google.com/spreadsheets/d/1o7UZe4_OqlqtLDHrj01Z2YFRSZDf1DMy1n3XViHaxRc/edit?usp=share_link"",""ภูเก็ต!N451"")+IMPORTRANGE(""https://docs.google.c"&amp;"om/spreadsheets/d/1ctPm1vUzcUCPuOj9-eoHUD85PqINFqUB0TjdSWmR5-c/edit?usp=share_link"",""ยะลา!N451"")+IMPORTRANGE(""https://docs.google.com/spreadsheets/d/1YiDIE7Klmt8osgdapRqYWNr7iPGFSsiJqq46S7PYRE0/edit?usp=share_link"",""ระนอง!N451"")+IMPORTRANGE(""https"&amp;"://docs.google.com/spreadsheets/d/16o_4B-V7AWw_6E93bSpXj_XxVv1oVQctk-B6z1dNEWU/edit?usp=share_link"",""สงขลา!N451"")+IMPORTRANGE(""https://docs.google.com/spreadsheets/d/16cywr71Fj4fA5OGRHsZh30ZG2gwJhMAQv69oVBzYHv0/edit?usp=share_link"",""สตูล!N451"")+IMP"&amp;"ORTRANGE(""https://docs.google.com/spreadsheets/d/1vO9Sws6kMtrVtyvrAJptINXjK8TFBoX9xLYOVK_C8bQ/edit?usp=share_link"",""สุราษฎร์ธานี!N451"")"),857295)</f>
        <v>857295</v>
      </c>
      <c r="O451" s="37"/>
      <c r="P451" s="37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20.25" customHeight="1">
      <c r="A452" s="573"/>
      <c r="B452" s="574"/>
      <c r="C452" s="574"/>
      <c r="D452" s="574"/>
      <c r="E452" s="574"/>
      <c r="F452" s="576" t="s">
        <v>188</v>
      </c>
      <c r="G452" s="188"/>
      <c r="H452" s="160" t="s">
        <v>12</v>
      </c>
      <c r="I452" s="36"/>
      <c r="J452" s="36"/>
      <c r="K452" s="37"/>
      <c r="L452" s="37"/>
      <c r="M452" s="37"/>
      <c r="N452" s="282">
        <f ca="1">IFERROR(__xludf.DUMMYFUNCTION("IMPORTRANGE(""https://docs.google.com/spreadsheets/d/1kC41EOXpGBFOW658Fs3oD8beYlym0-zO54WY-2Qnp9I/edit?usp=share_link"",""กระบี่!N452"")
+IMPORTRANGE(""https://docs.google.com/spreadsheets/d/1FbzMZY_f3MDiEuK7RpCQKrilJ_kpX0Wm7QBZ1L7EjIU/edit?usp=share_link"&amp;""",""ชุมพร!N452"")+IMPORTRANGE(""https://docs.google.com/spreadsheets/d/1v5sN-00LrXuhBxw4dkh2GrG_z4l5oAqOdJRBCsUyMaM/edit?usp=share_link"",""ตรัง!N452"")+IMPORTRANGE(""https://docs.google.com/spreadsheets/d/1T5rRTzFc79aSIvqnzkZNvwPstq829QYz_xALlO1Z0s8/edi"&amp;"t?usp=share_link"",""นครศรีธรรมราช!N452"")+IMPORTRANGE(""https://docs.google.com/spreadsheets/d/1BeghqumK0IvCmRd2QOy6_afsZq7ZtAGrSnVJy2u7WmY/edit?usp=share_link"",""นราธิวาส!N452"")+IMPORTRANGE(""https://docs.google.com/spreadsheets/d/1IwnW3-jjRf74MCLW-6P"&amp;"iFwMUffRQXZwZA7YM609NmRc/edit?usp=share_link"",""ปัตตานี!N452"")+IMPORTRANGE(""https://docs.google.com/spreadsheets/d/1vl4QWbWdFruual5o_wdo6ZSqXZ_it806oja4CctTLKs/edit?usp=share_link"",""พังงา!N452"")+IMPORTRANGE(""https://docs.google.com/spreadsheets/d/1"&amp;"b6QssHQp2FoAPSMKHOy273KNzAomaIKhtdlvuZ_zDNE/edit?usp=share_link"",""พัทลุง!N452"")+IMPORTRANGE(""https://docs.google.com/spreadsheets/d/1o7UZe4_OqlqtLDHrj01Z2YFRSZDf1DMy1n3XViHaxRc/edit?usp=share_link"",""ภูเก็ต!N452"")+IMPORTRANGE(""https://docs.google.c"&amp;"om/spreadsheets/d/1ctPm1vUzcUCPuOj9-eoHUD85PqINFqUB0TjdSWmR5-c/edit?usp=share_link"",""ยะลา!N452"")+IMPORTRANGE(""https://docs.google.com/spreadsheets/d/1YiDIE7Klmt8osgdapRqYWNr7iPGFSsiJqq46S7PYRE0/edit?usp=share_link"",""ระนอง!N452"")+IMPORTRANGE(""https"&amp;"://docs.google.com/spreadsheets/d/16o_4B-V7AWw_6E93bSpXj_XxVv1oVQctk-B6z1dNEWU/edit?usp=share_link"",""สงขลา!N452"")+IMPORTRANGE(""https://docs.google.com/spreadsheets/d/16cywr71Fj4fA5OGRHsZh30ZG2gwJhMAQv69oVBzYHv0/edit?usp=share_link"",""สตูล!N452"")+IMP"&amp;"ORTRANGE(""https://docs.google.com/spreadsheets/d/1vO9Sws6kMtrVtyvrAJptINXjK8TFBoX9xLYOVK_C8bQ/edit?usp=share_link"",""สุราษฎร์ธานี!N452"")"),538312.07)</f>
        <v>538312.06999999995</v>
      </c>
      <c r="O452" s="37"/>
      <c r="P452" s="37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20.25" customHeight="1">
      <c r="A453" s="573"/>
      <c r="B453" s="574"/>
      <c r="C453" s="574"/>
      <c r="D453" s="574"/>
      <c r="E453" s="574"/>
      <c r="F453" s="576" t="s">
        <v>189</v>
      </c>
      <c r="G453" s="188"/>
      <c r="H453" s="160" t="s">
        <v>12</v>
      </c>
      <c r="I453" s="36"/>
      <c r="J453" s="36"/>
      <c r="K453" s="37"/>
      <c r="L453" s="37"/>
      <c r="M453" s="37"/>
      <c r="N453" s="282">
        <f ca="1">IFERROR(__xludf.DUMMYFUNCTION("IMPORTRANGE(""https://docs.google.com/spreadsheets/d/1kC41EOXpGBFOW658Fs3oD8beYlym0-zO54WY-2Qnp9I/edit?usp=share_link"",""กระบี่!N453"")
+IMPORTRANGE(""https://docs.google.com/spreadsheets/d/1FbzMZY_f3MDiEuK7RpCQKrilJ_kpX0Wm7QBZ1L7EjIU/edit?usp=share_link"&amp;""",""ชุมพร!N453"")+IMPORTRANGE(""https://docs.google.com/spreadsheets/d/1v5sN-00LrXuhBxw4dkh2GrG_z4l5oAqOdJRBCsUyMaM/edit?usp=share_link"",""ตรัง!N453"")+IMPORTRANGE(""https://docs.google.com/spreadsheets/d/1T5rRTzFc79aSIvqnzkZNvwPstq829QYz_xALlO1Z0s8/edi"&amp;"t?usp=share_link"",""นครศรีธรรมราช!N453"")+IMPORTRANGE(""https://docs.google.com/spreadsheets/d/1BeghqumK0IvCmRd2QOy6_afsZq7ZtAGrSnVJy2u7WmY/edit?usp=share_link"",""นราธิวาส!N453"")+IMPORTRANGE(""https://docs.google.com/spreadsheets/d/1IwnW3-jjRf74MCLW-6P"&amp;"iFwMUffRQXZwZA7YM609NmRc/edit?usp=share_link"",""ปัตตานี!N453"")+IMPORTRANGE(""https://docs.google.com/spreadsheets/d/1vl4QWbWdFruual5o_wdo6ZSqXZ_it806oja4CctTLKs/edit?usp=share_link"",""พังงา!N453"")+IMPORTRANGE(""https://docs.google.com/spreadsheets/d/1"&amp;"b6QssHQp2FoAPSMKHOy273KNzAomaIKhtdlvuZ_zDNE/edit?usp=share_link"",""พัทลุง!N453"")+IMPORTRANGE(""https://docs.google.com/spreadsheets/d/1o7UZe4_OqlqtLDHrj01Z2YFRSZDf1DMy1n3XViHaxRc/edit?usp=share_link"",""ภูเก็ต!N453"")+IMPORTRANGE(""https://docs.google.c"&amp;"om/spreadsheets/d/1ctPm1vUzcUCPuOj9-eoHUD85PqINFqUB0TjdSWmR5-c/edit?usp=share_link"",""ยะลา!N453"")+IMPORTRANGE(""https://docs.google.com/spreadsheets/d/1YiDIE7Klmt8osgdapRqYWNr7iPGFSsiJqq46S7PYRE0/edit?usp=share_link"",""ระนอง!N453"")+IMPORTRANGE(""https"&amp;"://docs.google.com/spreadsheets/d/16o_4B-V7AWw_6E93bSpXj_XxVv1oVQctk-B6z1dNEWU/edit?usp=share_link"",""สงขลา!N453"")+IMPORTRANGE(""https://docs.google.com/spreadsheets/d/16cywr71Fj4fA5OGRHsZh30ZG2gwJhMAQv69oVBzYHv0/edit?usp=share_link"",""สตูล!N453"")+IMP"&amp;"ORTRANGE(""https://docs.google.com/spreadsheets/d/1vO9Sws6kMtrVtyvrAJptINXjK8TFBoX9xLYOVK_C8bQ/edit?usp=share_link"",""สุราษฎร์ธานี!N453"")"),316222.88)</f>
        <v>316222.88</v>
      </c>
      <c r="O453" s="37"/>
      <c r="P453" s="37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20.25" customHeight="1">
      <c r="A454" s="596"/>
      <c r="B454" s="574"/>
      <c r="C454" s="574"/>
      <c r="D454" s="605" t="s">
        <v>21</v>
      </c>
      <c r="E454" s="574"/>
      <c r="F454" s="575"/>
      <c r="G454" s="188"/>
      <c r="H454" s="167" t="s">
        <v>12</v>
      </c>
      <c r="I454" s="161"/>
      <c r="J454" s="161"/>
      <c r="K454" s="162"/>
      <c r="L454" s="37">
        <f t="shared" ref="L454:N454" ca="1" si="234">L455+L456</f>
        <v>0</v>
      </c>
      <c r="M454" s="37">
        <f t="shared" si="234"/>
        <v>0</v>
      </c>
      <c r="N454" s="37">
        <f t="shared" si="234"/>
        <v>0</v>
      </c>
      <c r="O454" s="37">
        <f t="shared" ref="O454:O456" ca="1" si="235">IF(L454&gt;0,N454*100/L454,0)</f>
        <v>0</v>
      </c>
      <c r="P454" s="37">
        <f t="shared" ref="P454:P456" si="236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20.25" hidden="1" customHeight="1">
      <c r="A455" s="598"/>
      <c r="B455" s="604"/>
      <c r="C455" s="604"/>
      <c r="D455" s="604"/>
      <c r="E455" s="606" t="s">
        <v>18</v>
      </c>
      <c r="F455" s="599"/>
      <c r="G455" s="602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44">
        <f t="shared" si="235"/>
        <v>0</v>
      </c>
      <c r="P455" s="44">
        <f t="shared" si="236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20.25" hidden="1" customHeight="1">
      <c r="A456" s="598"/>
      <c r="B456" s="604"/>
      <c r="C456" s="604"/>
      <c r="D456" s="604"/>
      <c r="E456" s="606" t="s">
        <v>19</v>
      </c>
      <c r="F456" s="599"/>
      <c r="G456" s="602"/>
      <c r="H456" s="168" t="s">
        <v>12</v>
      </c>
      <c r="I456" s="165"/>
      <c r="J456" s="165"/>
      <c r="K456" s="166"/>
      <c r="L456" s="44">
        <f ca="1">IFERROR(__xludf.DUMMYFUNCTION("IMPORTRANGE(""https://docs.google.com/spreadsheets/d/1kC41EOXpGBFOW658Fs3oD8beYlym0-zO54WY-2Qnp9I/edit?usp=share_link"",""กระบี่!L456"")
+IMPORTRANGE(""https://docs.google.com/spreadsheets/d/1FbzMZY_f3MDiEuK7RpCQKrilJ_kpX0Wm7QBZ1L7EjIU/edit?usp=share_link"&amp;""",""ชุมพร!L456"")+IMPORTRANGE(""https://docs.google.com/spreadsheets/d/1v5sN-00LrXuhBxw4dkh2GrG_z4l5oAqOdJRBCsUyMaM/edit?usp=share_link"",""ตรัง!L456"")+IMPORTRANGE(""https://docs.google.com/spreadsheets/d/1T5rRTzFc79aSIvqnzkZNvwPstq829QYz_xALlO1Z0s8/edi"&amp;"t?usp=share_link"",""นครศรีธรรมราช!L456"")+IMPORTRANGE(""https://docs.google.com/spreadsheets/d/1BeghqumK0IvCmRd2QOy6_afsZq7ZtAGrSnVJy2u7WmY/edit?usp=share_link"",""นราธิวาส!L456"")+IMPORTRANGE(""https://docs.google.com/spreadsheets/d/1IwnW3-jjRf74MCLW-6P"&amp;"iFwMUffRQXZwZA7YM609NmRc/edit?usp=share_link"",""ปัตตานี!L456"")+IMPORTRANGE(""https://docs.google.com/spreadsheets/d/1vl4QWbWdFruual5o_wdo6ZSqXZ_it806oja4CctTLKs/edit?usp=share_link"",""พังงา!L456"")+IMPORTRANGE(""https://docs.google.com/spreadsheets/d/1"&amp;"b6QssHQp2FoAPSMKHOy273KNzAomaIKhtdlvuZ_zDNE/edit?usp=share_link"",""พัทลุง!L456"")+IMPORTRANGE(""https://docs.google.com/spreadsheets/d/1o7UZe4_OqlqtLDHrj01Z2YFRSZDf1DMy1n3XViHaxRc/edit?usp=share_link"",""ภูเก็ต!L456"")+IMPORTRANGE(""https://docs.google.c"&amp;"om/spreadsheets/d/1ctPm1vUzcUCPuOj9-eoHUD85PqINFqUB0TjdSWmR5-c/edit?usp=share_link"",""ยะลา!L456"")+IMPORTRANGE(""https://docs.google.com/spreadsheets/d/1YiDIE7Klmt8osgdapRqYWNr7iPGFSsiJqq46S7PYRE0/edit?usp=share_link"",""ระนอง!L456"")+IMPORTRANGE(""https"&amp;"://docs.google.com/spreadsheets/d/16o_4B-V7AWw_6E93bSpXj_XxVv1oVQctk-B6z1dNEWU/edit?usp=share_link"",""สงขลา!L456"")+IMPORTRANGE(""https://docs.google.com/spreadsheets/d/16cywr71Fj4fA5OGRHsZh30ZG2gwJhMAQv69oVBzYHv0/edit?usp=share_link"",""สตูล!L456"")+IMP"&amp;"ORTRANGE(""https://docs.google.com/spreadsheets/d/1vO9Sws6kMtrVtyvrAJptINXjK8TFBoX9xLYOVK_C8bQ/edit?usp=share_link"",""สุราษฎร์ธานี!L456"")"),0)</f>
        <v>0</v>
      </c>
      <c r="M456" s="92">
        <v>0</v>
      </c>
      <c r="N456" s="92">
        <v>0</v>
      </c>
      <c r="O456" s="44">
        <f t="shared" ca="1" si="235"/>
        <v>0</v>
      </c>
      <c r="P456" s="44">
        <f t="shared" si="236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20.25" customHeight="1">
      <c r="A457" s="607"/>
      <c r="B457" s="608"/>
      <c r="C457" s="574" t="s">
        <v>16</v>
      </c>
      <c r="D457" s="609" t="s">
        <v>38</v>
      </c>
      <c r="E457" s="610"/>
      <c r="F457" s="611"/>
      <c r="G457" s="612"/>
      <c r="H457" s="174"/>
      <c r="I457" s="36"/>
      <c r="J457" s="36"/>
      <c r="K457" s="37"/>
      <c r="L457" s="37"/>
      <c r="M457" s="37"/>
      <c r="N457" s="37"/>
      <c r="O457" s="37"/>
      <c r="P457" s="37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20.25" hidden="1" customHeight="1">
      <c r="A458" s="613"/>
      <c r="B458" s="614"/>
      <c r="C458" s="614"/>
      <c r="D458" s="615" t="s">
        <v>200</v>
      </c>
      <c r="E458" s="614"/>
      <c r="F458" s="600"/>
      <c r="G458" s="365"/>
      <c r="H458" s="369" t="s">
        <v>35</v>
      </c>
      <c r="I458" s="616">
        <v>0</v>
      </c>
      <c r="J458" s="616">
        <v>0</v>
      </c>
      <c r="K458" s="44">
        <f>IF(I458&gt;0,J458*100/I458,0)</f>
        <v>0</v>
      </c>
      <c r="L458" s="44"/>
      <c r="M458" s="44"/>
      <c r="N458" s="44"/>
      <c r="O458" s="44"/>
      <c r="P458" s="44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20.25" hidden="1" customHeight="1">
      <c r="A459" s="613"/>
      <c r="B459" s="614"/>
      <c r="C459" s="614"/>
      <c r="D459" s="615" t="s">
        <v>201</v>
      </c>
      <c r="E459" s="614"/>
      <c r="F459" s="600"/>
      <c r="G459" s="365"/>
      <c r="H459" s="369"/>
      <c r="I459" s="43"/>
      <c r="J459" s="43"/>
      <c r="K459" s="44"/>
      <c r="L459" s="44"/>
      <c r="M459" s="44"/>
      <c r="N459" s="44"/>
      <c r="O459" s="44"/>
      <c r="P459" s="44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20.25" customHeight="1">
      <c r="A460" s="607"/>
      <c r="B460" s="608"/>
      <c r="C460" s="608"/>
      <c r="D460" s="617" t="s">
        <v>202</v>
      </c>
      <c r="E460" s="608"/>
      <c r="F460" s="618"/>
      <c r="G460" s="174"/>
      <c r="H460" s="181" t="s">
        <v>35</v>
      </c>
      <c r="I460" s="36">
        <f ca="1">IFERROR(__xludf.DUMMYFUNCTION("IMPORTRANGE(""https://docs.google.com/spreadsheets/d/1kC41EOXpGBFOW658Fs3oD8beYlym0-zO54WY-2Qnp9I/edit?usp=share_link"",""กระบี่!I460"")
+IMPORTRANGE(""https://docs.google.com/spreadsheets/d/1FbzMZY_f3MDiEuK7RpCQKrilJ_kpX0Wm7QBZ1L7EjIU/edit?usp=share_link"&amp;""",""ชุมพร!I460"")+IMPORTRANGE(""https://docs.google.com/spreadsheets/d/1v5sN-00LrXuhBxw4dkh2GrG_z4l5oAqOdJRBCsUyMaM/edit?usp=share_link"",""ตรัง!I460"")+IMPORTRANGE(""https://docs.google.com/spreadsheets/d/1T5rRTzFc79aSIvqnzkZNvwPstq829QYz_xALlO1Z0s8/edi"&amp;"t?usp=share_link"",""นครศรีธรรมราช!I460"")+IMPORTRANGE(""https://docs.google.com/spreadsheets/d/1BeghqumK0IvCmRd2QOy6_afsZq7ZtAGrSnVJy2u7WmY/edit?usp=share_link"",""นราธิวาส!I460"")+IMPORTRANGE(""https://docs.google.com/spreadsheets/d/1IwnW3-jjRf74MCLW-6P"&amp;"iFwMUffRQXZwZA7YM609NmRc/edit?usp=share_link"",""ปัตตานี!I460"")+IMPORTRANGE(""https://docs.google.com/spreadsheets/d/1vl4QWbWdFruual5o_wdo6ZSqXZ_it806oja4CctTLKs/edit?usp=share_link"",""พังงา!I460"")+IMPORTRANGE(""https://docs.google.com/spreadsheets/d/1"&amp;"b6QssHQp2FoAPSMKHOy273KNzAomaIKhtdlvuZ_zDNE/edit?usp=share_link"",""พัทลุง!I460"")+IMPORTRANGE(""https://docs.google.com/spreadsheets/d/1o7UZe4_OqlqtLDHrj01Z2YFRSZDf1DMy1n3XViHaxRc/edit?usp=share_link"",""ภูเก็ต!I460"")+IMPORTRANGE(""https://docs.google.c"&amp;"om/spreadsheets/d/1ctPm1vUzcUCPuOj9-eoHUD85PqINFqUB0TjdSWmR5-c/edit?usp=share_link"",""ยะลา!I460"")+IMPORTRANGE(""https://docs.google.com/spreadsheets/d/1YiDIE7Klmt8osgdapRqYWNr7iPGFSsiJqq46S7PYRE0/edit?usp=share_link"",""ระนอง!I460"")+IMPORTRANGE(""https"&amp;"://docs.google.com/spreadsheets/d/16o_4B-V7AWw_6E93bSpXj_XxVv1oVQctk-B6z1dNEWU/edit?usp=share_link"",""สงขลา!I460"")+IMPORTRANGE(""https://docs.google.com/spreadsheets/d/16cywr71Fj4fA5OGRHsZh30ZG2gwJhMAQv69oVBzYHv0/edit?usp=share_link"",""สตูล!I460"")+IMP"&amp;"ORTRANGE(""https://docs.google.com/spreadsheets/d/1vO9Sws6kMtrVtyvrAJptINXjK8TFBoX9xLYOVK_C8bQ/edit?usp=share_link"",""สุราษฎร์ธานี!I460"")"),255)</f>
        <v>255</v>
      </c>
      <c r="J460" s="182">
        <f ca="1">IFERROR(__xludf.DUMMYFUNCTION("IMPORTRANGE(""https://docs.google.com/spreadsheets/d/1kC41EOXpGBFOW658Fs3oD8beYlym0-zO54WY-2Qnp9I/edit?usp=share_link"",""กระบี่!J460"")
+IMPORTRANGE(""https://docs.google.com/spreadsheets/d/1FbzMZY_f3MDiEuK7RpCQKrilJ_kpX0Wm7QBZ1L7EjIU/edit?usp=share_link"&amp;""",""ชุมพร!J460"")+IMPORTRANGE(""https://docs.google.com/spreadsheets/d/1v5sN-00LrXuhBxw4dkh2GrG_z4l5oAqOdJRBCsUyMaM/edit?usp=share_link"",""ตรัง!J460"")+IMPORTRANGE(""https://docs.google.com/spreadsheets/d/1T5rRTzFc79aSIvqnzkZNvwPstq829QYz_xALlO1Z0s8/edi"&amp;"t?usp=share_link"",""นครศรีธรรมราช!J460"")+IMPORTRANGE(""https://docs.google.com/spreadsheets/d/1BeghqumK0IvCmRd2QOy6_afsZq7ZtAGrSnVJy2u7WmY/edit?usp=share_link"",""นราธิวาส!J460"")+IMPORTRANGE(""https://docs.google.com/spreadsheets/d/1IwnW3-jjRf74MCLW-6P"&amp;"iFwMUffRQXZwZA7YM609NmRc/edit?usp=share_link"",""ปัตตานี!J460"")+IMPORTRANGE(""https://docs.google.com/spreadsheets/d/1vl4QWbWdFruual5o_wdo6ZSqXZ_it806oja4CctTLKs/edit?usp=share_link"",""พังงา!J460"")+IMPORTRANGE(""https://docs.google.com/spreadsheets/d/1"&amp;"b6QssHQp2FoAPSMKHOy273KNzAomaIKhtdlvuZ_zDNE/edit?usp=share_link"",""พัทลุง!J460"")+IMPORTRANGE(""https://docs.google.com/spreadsheets/d/1o7UZe4_OqlqtLDHrj01Z2YFRSZDf1DMy1n3XViHaxRc/edit?usp=share_link"",""ภูเก็ต!J460"")+IMPORTRANGE(""https://docs.google.c"&amp;"om/spreadsheets/d/1ctPm1vUzcUCPuOj9-eoHUD85PqINFqUB0TjdSWmR5-c/edit?usp=share_link"",""ยะลา!J460"")+IMPORTRANGE(""https://docs.google.com/spreadsheets/d/1YiDIE7Klmt8osgdapRqYWNr7iPGFSsiJqq46S7PYRE0/edit?usp=share_link"",""ระนอง!J460"")+IMPORTRANGE(""https"&amp;"://docs.google.com/spreadsheets/d/16o_4B-V7AWw_6E93bSpXj_XxVv1oVQctk-B6z1dNEWU/edit?usp=share_link"",""สงขลา!J460"")+IMPORTRANGE(""https://docs.google.com/spreadsheets/d/16cywr71Fj4fA5OGRHsZh30ZG2gwJhMAQv69oVBzYHv0/edit?usp=share_link"",""สตูล!J460"")+IMP"&amp;"ORTRANGE(""https://docs.google.com/spreadsheets/d/1vO9Sws6kMtrVtyvrAJptINXjK8TFBoX9xLYOVK_C8bQ/edit?usp=share_link"",""สุราษฎร์ธานี!J460"")"),255)</f>
        <v>255</v>
      </c>
      <c r="K460" s="37">
        <f ca="1">IF(I460&gt;0,J460*100/I460,0)</f>
        <v>100</v>
      </c>
      <c r="L460" s="37"/>
      <c r="M460" s="37"/>
      <c r="N460" s="37"/>
      <c r="O460" s="37"/>
      <c r="P460" s="37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20.25" customHeight="1">
      <c r="A461" s="607"/>
      <c r="B461" s="608"/>
      <c r="C461" s="608"/>
      <c r="D461" s="617" t="s">
        <v>203</v>
      </c>
      <c r="E461" s="618"/>
      <c r="F461" s="618"/>
      <c r="G461" s="174"/>
      <c r="H461" s="181"/>
      <c r="I461" s="36"/>
      <c r="J461" s="36"/>
      <c r="K461" s="37"/>
      <c r="L461" s="37"/>
      <c r="M461" s="37"/>
      <c r="N461" s="37"/>
      <c r="O461" s="37"/>
      <c r="P461" s="37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20.25" customHeight="1">
      <c r="A462" s="607"/>
      <c r="B462" s="608"/>
      <c r="C462" s="608"/>
      <c r="D462" s="617" t="s">
        <v>204</v>
      </c>
      <c r="E462" s="618"/>
      <c r="F462" s="618"/>
      <c r="G462" s="174"/>
      <c r="H462" s="181" t="s">
        <v>46</v>
      </c>
      <c r="I462" s="36">
        <f ca="1">IFERROR(__xludf.DUMMYFUNCTION("IMPORTRANGE(""https://docs.google.com/spreadsheets/d/1kC41EOXpGBFOW658Fs3oD8beYlym0-zO54WY-2Qnp9I/edit?usp=share_link"",""กระบี่!I462"")
+IMPORTRANGE(""https://docs.google.com/spreadsheets/d/1FbzMZY_f3MDiEuK7RpCQKrilJ_kpX0Wm7QBZ1L7EjIU/edit?usp=share_link"&amp;""",""ชุมพร!I462"")+IMPORTRANGE(""https://docs.google.com/spreadsheets/d/1v5sN-00LrXuhBxw4dkh2GrG_z4l5oAqOdJRBCsUyMaM/edit?usp=share_link"",""ตรัง!I462"")+IMPORTRANGE(""https://docs.google.com/spreadsheets/d/1T5rRTzFc79aSIvqnzkZNvwPstq829QYz_xALlO1Z0s8/edi"&amp;"t?usp=share_link"",""นครศรีธรรมราช!I462"")+IMPORTRANGE(""https://docs.google.com/spreadsheets/d/1BeghqumK0IvCmRd2QOy6_afsZq7ZtAGrSnVJy2u7WmY/edit?usp=share_link"",""นราธิวาส!I462"")+IMPORTRANGE(""https://docs.google.com/spreadsheets/d/1IwnW3-jjRf74MCLW-6P"&amp;"iFwMUffRQXZwZA7YM609NmRc/edit?usp=share_link"",""ปัตตานี!I462"")+IMPORTRANGE(""https://docs.google.com/spreadsheets/d/1vl4QWbWdFruual5o_wdo6ZSqXZ_it806oja4CctTLKs/edit?usp=share_link"",""พังงา!I462"")+IMPORTRANGE(""https://docs.google.com/spreadsheets/d/1"&amp;"b6QssHQp2FoAPSMKHOy273KNzAomaIKhtdlvuZ_zDNE/edit?usp=share_link"",""พัทลุง!I462"")+IMPORTRANGE(""https://docs.google.com/spreadsheets/d/1o7UZe4_OqlqtLDHrj01Z2YFRSZDf1DMy1n3XViHaxRc/edit?usp=share_link"",""ภูเก็ต!I462"")+IMPORTRANGE(""https://docs.google.c"&amp;"om/spreadsheets/d/1ctPm1vUzcUCPuOj9-eoHUD85PqINFqUB0TjdSWmR5-c/edit?usp=share_link"",""ยะลา!I462"")+IMPORTRANGE(""https://docs.google.com/spreadsheets/d/1YiDIE7Klmt8osgdapRqYWNr7iPGFSsiJqq46S7PYRE0/edit?usp=share_link"",""ระนอง!I462"")+IMPORTRANGE(""https"&amp;"://docs.google.com/spreadsheets/d/16o_4B-V7AWw_6E93bSpXj_XxVv1oVQctk-B6z1dNEWU/edit?usp=share_link"",""สงขลา!I462"")+IMPORTRANGE(""https://docs.google.com/spreadsheets/d/16cywr71Fj4fA5OGRHsZh30ZG2gwJhMAQv69oVBzYHv0/edit?usp=share_link"",""สตูล!I462"")+IMP"&amp;"ORTRANGE(""https://docs.google.com/spreadsheets/d/1vO9Sws6kMtrVtyvrAJptINXjK8TFBoX9xLYOVK_C8bQ/edit?usp=share_link"",""สุราษฎร์ธานี!I462"")"),820)</f>
        <v>820</v>
      </c>
      <c r="J462" s="182">
        <f ca="1">IFERROR(__xludf.DUMMYFUNCTION("IMPORTRANGE(""https://docs.google.com/spreadsheets/d/1kC41EOXpGBFOW658Fs3oD8beYlym0-zO54WY-2Qnp9I/edit?usp=share_link"",""กระบี่!J462"")
+IMPORTRANGE(""https://docs.google.com/spreadsheets/d/1FbzMZY_f3MDiEuK7RpCQKrilJ_kpX0Wm7QBZ1L7EjIU/edit?usp=share_link"&amp;""",""ชุมพร!J462"")+IMPORTRANGE(""https://docs.google.com/spreadsheets/d/1v5sN-00LrXuhBxw4dkh2GrG_z4l5oAqOdJRBCsUyMaM/edit?usp=share_link"",""ตรัง!J462"")+IMPORTRANGE(""https://docs.google.com/spreadsheets/d/1T5rRTzFc79aSIvqnzkZNvwPstq829QYz_xALlO1Z0s8/edi"&amp;"t?usp=share_link"",""นครศรีธรรมราช!J462"")+IMPORTRANGE(""https://docs.google.com/spreadsheets/d/1BeghqumK0IvCmRd2QOy6_afsZq7ZtAGrSnVJy2u7WmY/edit?usp=share_link"",""นราธิวาส!J462"")+IMPORTRANGE(""https://docs.google.com/spreadsheets/d/1IwnW3-jjRf74MCLW-6P"&amp;"iFwMUffRQXZwZA7YM609NmRc/edit?usp=share_link"",""ปัตตานี!J462"")+IMPORTRANGE(""https://docs.google.com/spreadsheets/d/1vl4QWbWdFruual5o_wdo6ZSqXZ_it806oja4CctTLKs/edit?usp=share_link"",""พังงา!J462"")+IMPORTRANGE(""https://docs.google.com/spreadsheets/d/1"&amp;"b6QssHQp2FoAPSMKHOy273KNzAomaIKhtdlvuZ_zDNE/edit?usp=share_link"",""พัทลุง!J462"")+IMPORTRANGE(""https://docs.google.com/spreadsheets/d/1o7UZe4_OqlqtLDHrj01Z2YFRSZDf1DMy1n3XViHaxRc/edit?usp=share_link"",""ภูเก็ต!J462"")+IMPORTRANGE(""https://docs.google.c"&amp;"om/spreadsheets/d/1ctPm1vUzcUCPuOj9-eoHUD85PqINFqUB0TjdSWmR5-c/edit?usp=share_link"",""ยะลา!J462"")+IMPORTRANGE(""https://docs.google.com/spreadsheets/d/1YiDIE7Klmt8osgdapRqYWNr7iPGFSsiJqq46S7PYRE0/edit?usp=share_link"",""ระนอง!J462"")+IMPORTRANGE(""https"&amp;"://docs.google.com/spreadsheets/d/16o_4B-V7AWw_6E93bSpXj_XxVv1oVQctk-B6z1dNEWU/edit?usp=share_link"",""สงขลา!J462"")+IMPORTRANGE(""https://docs.google.com/spreadsheets/d/16cywr71Fj4fA5OGRHsZh30ZG2gwJhMAQv69oVBzYHv0/edit?usp=share_link"",""สตูล!J462"")+IMP"&amp;"ORTRANGE(""https://docs.google.com/spreadsheets/d/1vO9Sws6kMtrVtyvrAJptINXjK8TFBoX9xLYOVK_C8bQ/edit?usp=share_link"",""สุราษฎร์ธานี!J462"")"),820)</f>
        <v>820</v>
      </c>
      <c r="K462" s="37">
        <f ca="1">IF(I462&gt;0,J462*100/I462,0)</f>
        <v>100</v>
      </c>
      <c r="L462" s="37"/>
      <c r="M462" s="37"/>
      <c r="N462" s="37"/>
      <c r="O462" s="37"/>
      <c r="P462" s="37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20.25" customHeight="1">
      <c r="A463" s="607"/>
      <c r="B463" s="608"/>
      <c r="C463" s="608"/>
      <c r="D463" s="617" t="s">
        <v>59</v>
      </c>
      <c r="E463" s="618"/>
      <c r="F463" s="575"/>
      <c r="G463" s="188"/>
      <c r="H463" s="181" t="s">
        <v>46</v>
      </c>
      <c r="I463" s="269">
        <f ca="1">IFERROR(__xludf.DUMMYFUNCTION("IMPORTRANGE(""https://docs.google.com/spreadsheets/d/1kC41EOXpGBFOW658Fs3oD8beYlym0-zO54WY-2Qnp9I/edit?usp=share_link"",""กระบี่!I463"")
+IMPORTRANGE(""https://docs.google.com/spreadsheets/d/1FbzMZY_f3MDiEuK7RpCQKrilJ_kpX0Wm7QBZ1L7EjIU/edit?usp=share_link"&amp;""",""ชุมพร!I463"")+IMPORTRANGE(""https://docs.google.com/spreadsheets/d/1v5sN-00LrXuhBxw4dkh2GrG_z4l5oAqOdJRBCsUyMaM/edit?usp=share_link"",""ตรัง!I463"")+IMPORTRANGE(""https://docs.google.com/spreadsheets/d/1T5rRTzFc79aSIvqnzkZNvwPstq829QYz_xALlO1Z0s8/edi"&amp;"t?usp=share_link"",""นครศรีธรรมราช!I463"")+IMPORTRANGE(""https://docs.google.com/spreadsheets/d/1BeghqumK0IvCmRd2QOy6_afsZq7ZtAGrSnVJy2u7WmY/edit?usp=share_link"",""นราธิวาส!I463"")+IMPORTRANGE(""https://docs.google.com/spreadsheets/d/1IwnW3-jjRf74MCLW-6P"&amp;"iFwMUffRQXZwZA7YM609NmRc/edit?usp=share_link"",""ปัตตานี!I463"")+IMPORTRANGE(""https://docs.google.com/spreadsheets/d/1vl4QWbWdFruual5o_wdo6ZSqXZ_it806oja4CctTLKs/edit?usp=share_link"",""พังงา!I463"")+IMPORTRANGE(""https://docs.google.com/spreadsheets/d/1"&amp;"b6QssHQp2FoAPSMKHOy273KNzAomaIKhtdlvuZ_zDNE/edit?usp=share_link"",""พัทลุง!I463"")+IMPORTRANGE(""https://docs.google.com/spreadsheets/d/1o7UZe4_OqlqtLDHrj01Z2YFRSZDf1DMy1n3XViHaxRc/edit?usp=share_link"",""ภูเก็ต!I463"")+IMPORTRANGE(""https://docs.google.c"&amp;"om/spreadsheets/d/1ctPm1vUzcUCPuOj9-eoHUD85PqINFqUB0TjdSWmR5-c/edit?usp=share_link"",""ยะลา!I463"")+IMPORTRANGE(""https://docs.google.com/spreadsheets/d/1YiDIE7Klmt8osgdapRqYWNr7iPGFSsiJqq46S7PYRE0/edit?usp=share_link"",""ระนอง!I463"")+IMPORTRANGE(""https"&amp;"://docs.google.com/spreadsheets/d/16o_4B-V7AWw_6E93bSpXj_XxVv1oVQctk-B6z1dNEWU/edit?usp=share_link"",""สงขลา!I463"")+IMPORTRANGE(""https://docs.google.com/spreadsheets/d/16cywr71Fj4fA5OGRHsZh30ZG2gwJhMAQv69oVBzYHv0/edit?usp=share_link"",""สตูล!I463"")+IMP"&amp;"ORTRANGE(""https://docs.google.com/spreadsheets/d/1vO9Sws6kMtrVtyvrAJptINXjK8TFBoX9xLYOVK_C8bQ/edit?usp=share_link"",""สุราษฎร์ธานี!I463"")"),820)</f>
        <v>820</v>
      </c>
      <c r="J463" s="182">
        <f ca="1">IFERROR(__xludf.DUMMYFUNCTION("IMPORTRANGE(""https://docs.google.com/spreadsheets/d/1kC41EOXpGBFOW658Fs3oD8beYlym0-zO54WY-2Qnp9I/edit?usp=share_link"",""กระบี่!J463"")
+IMPORTRANGE(""https://docs.google.com/spreadsheets/d/1FbzMZY_f3MDiEuK7RpCQKrilJ_kpX0Wm7QBZ1L7EjIU/edit?usp=share_link"&amp;""",""ชุมพร!J463"")+IMPORTRANGE(""https://docs.google.com/spreadsheets/d/1v5sN-00LrXuhBxw4dkh2GrG_z4l5oAqOdJRBCsUyMaM/edit?usp=share_link"",""ตรัง!J463"")+IMPORTRANGE(""https://docs.google.com/spreadsheets/d/1T5rRTzFc79aSIvqnzkZNvwPstq829QYz_xALlO1Z0s8/edi"&amp;"t?usp=share_link"",""นครศรีธรรมราช!J463"")+IMPORTRANGE(""https://docs.google.com/spreadsheets/d/1BeghqumK0IvCmRd2QOy6_afsZq7ZtAGrSnVJy2u7WmY/edit?usp=share_link"",""นราธิวาส!J463"")+IMPORTRANGE(""https://docs.google.com/spreadsheets/d/1IwnW3-jjRf74MCLW-6P"&amp;"iFwMUffRQXZwZA7YM609NmRc/edit?usp=share_link"",""ปัตตานี!J463"")+IMPORTRANGE(""https://docs.google.com/spreadsheets/d/1vl4QWbWdFruual5o_wdo6ZSqXZ_it806oja4CctTLKs/edit?usp=share_link"",""พังงา!J463"")+IMPORTRANGE(""https://docs.google.com/spreadsheets/d/1"&amp;"b6QssHQp2FoAPSMKHOy273KNzAomaIKhtdlvuZ_zDNE/edit?usp=share_link"",""พัทลุง!J463"")+IMPORTRANGE(""https://docs.google.com/spreadsheets/d/1o7UZe4_OqlqtLDHrj01Z2YFRSZDf1DMy1n3XViHaxRc/edit?usp=share_link"",""ภูเก็ต!J463"")+IMPORTRANGE(""https://docs.google.c"&amp;"om/spreadsheets/d/1ctPm1vUzcUCPuOj9-eoHUD85PqINFqUB0TjdSWmR5-c/edit?usp=share_link"",""ยะลา!J463"")+IMPORTRANGE(""https://docs.google.com/spreadsheets/d/1YiDIE7Klmt8osgdapRqYWNr7iPGFSsiJqq46S7PYRE0/edit?usp=share_link"",""ระนอง!J463"")+IMPORTRANGE(""https"&amp;"://docs.google.com/spreadsheets/d/16o_4B-V7AWw_6E93bSpXj_XxVv1oVQctk-B6z1dNEWU/edit?usp=share_link"",""สงขลา!J463"")+IMPORTRANGE(""https://docs.google.com/spreadsheets/d/16cywr71Fj4fA5OGRHsZh30ZG2gwJhMAQv69oVBzYHv0/edit?usp=share_link"",""สตูล!J463"")+IMP"&amp;"ORTRANGE(""https://docs.google.com/spreadsheets/d/1vO9Sws6kMtrVtyvrAJptINXjK8TFBoX9xLYOVK_C8bQ/edit?usp=share_link"",""สุราษฎร์ธานี!J463"")"),820)</f>
        <v>820</v>
      </c>
      <c r="K463" s="37"/>
      <c r="L463" s="37"/>
      <c r="M463" s="37"/>
      <c r="N463" s="37"/>
      <c r="O463" s="37"/>
      <c r="P463" s="37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20.25" customHeight="1">
      <c r="A464" s="607"/>
      <c r="B464" s="608"/>
      <c r="C464" s="608"/>
      <c r="D464" s="608"/>
      <c r="E464" s="618"/>
      <c r="F464" s="618"/>
      <c r="G464" s="619"/>
      <c r="H464" s="181" t="s">
        <v>35</v>
      </c>
      <c r="I464" s="269">
        <f ca="1">IFERROR(__xludf.DUMMYFUNCTION("IMPORTRANGE(""https://docs.google.com/spreadsheets/d/1kC41EOXpGBFOW658Fs3oD8beYlym0-zO54WY-2Qnp9I/edit?usp=share_link"",""กระบี่!I464"")
+IMPORTRANGE(""https://docs.google.com/spreadsheets/d/1FbzMZY_f3MDiEuK7RpCQKrilJ_kpX0Wm7QBZ1L7EjIU/edit?usp=share_link"&amp;""",""ชุมพร!I464"")+IMPORTRANGE(""https://docs.google.com/spreadsheets/d/1v5sN-00LrXuhBxw4dkh2GrG_z4l5oAqOdJRBCsUyMaM/edit?usp=share_link"",""ตรัง!I464"")+IMPORTRANGE(""https://docs.google.com/spreadsheets/d/1T5rRTzFc79aSIvqnzkZNvwPstq829QYz_xALlO1Z0s8/edi"&amp;"t?usp=share_link"",""นครศรีธรรมราช!I464"")+IMPORTRANGE(""https://docs.google.com/spreadsheets/d/1BeghqumK0IvCmRd2QOy6_afsZq7ZtAGrSnVJy2u7WmY/edit?usp=share_link"",""นราธิวาส!I464"")+IMPORTRANGE(""https://docs.google.com/spreadsheets/d/1IwnW3-jjRf74MCLW-6P"&amp;"iFwMUffRQXZwZA7YM609NmRc/edit?usp=share_link"",""ปัตตานี!I464"")+IMPORTRANGE(""https://docs.google.com/spreadsheets/d/1vl4QWbWdFruual5o_wdo6ZSqXZ_it806oja4CctTLKs/edit?usp=share_link"",""พังงา!I464"")+IMPORTRANGE(""https://docs.google.com/spreadsheets/d/1"&amp;"b6QssHQp2FoAPSMKHOy273KNzAomaIKhtdlvuZ_zDNE/edit?usp=share_link"",""พัทลุง!I464"")+IMPORTRANGE(""https://docs.google.com/spreadsheets/d/1o7UZe4_OqlqtLDHrj01Z2YFRSZDf1DMy1n3XViHaxRc/edit?usp=share_link"",""ภูเก็ต!I464"")+IMPORTRANGE(""https://docs.google.c"&amp;"om/spreadsheets/d/1ctPm1vUzcUCPuOj9-eoHUD85PqINFqUB0TjdSWmR5-c/edit?usp=share_link"",""ยะลา!I464"")+IMPORTRANGE(""https://docs.google.com/spreadsheets/d/1YiDIE7Klmt8osgdapRqYWNr7iPGFSsiJqq46S7PYRE0/edit?usp=share_link"",""ระนอง!I464"")+IMPORTRANGE(""https"&amp;"://docs.google.com/spreadsheets/d/16o_4B-V7AWw_6E93bSpXj_XxVv1oVQctk-B6z1dNEWU/edit?usp=share_link"",""สงขลา!I464"")+IMPORTRANGE(""https://docs.google.com/spreadsheets/d/16cywr71Fj4fA5OGRHsZh30ZG2gwJhMAQv69oVBzYHv0/edit?usp=share_link"",""สตูล!I464"")+IMP"&amp;"ORTRANGE(""https://docs.google.com/spreadsheets/d/1vO9Sws6kMtrVtyvrAJptINXjK8TFBoX9xLYOVK_C8bQ/edit?usp=share_link"",""สุราษฎร์ธานี!I464"")"),255)</f>
        <v>255</v>
      </c>
      <c r="J464" s="182">
        <f ca="1">IFERROR(__xludf.DUMMYFUNCTION("IMPORTRANGE(""https://docs.google.com/spreadsheets/d/1kC41EOXpGBFOW658Fs3oD8beYlym0-zO54WY-2Qnp9I/edit?usp=share_link"",""กระบี่!J464"")
+IMPORTRANGE(""https://docs.google.com/spreadsheets/d/1FbzMZY_f3MDiEuK7RpCQKrilJ_kpX0Wm7QBZ1L7EjIU/edit?usp=share_link"&amp;""",""ชุมพร!J464"")+IMPORTRANGE(""https://docs.google.com/spreadsheets/d/1v5sN-00LrXuhBxw4dkh2GrG_z4l5oAqOdJRBCsUyMaM/edit?usp=share_link"",""ตรัง!J464"")+IMPORTRANGE(""https://docs.google.com/spreadsheets/d/1T5rRTzFc79aSIvqnzkZNvwPstq829QYz_xALlO1Z0s8/edi"&amp;"t?usp=share_link"",""นครศรีธรรมราช!J464"")+IMPORTRANGE(""https://docs.google.com/spreadsheets/d/1BeghqumK0IvCmRd2QOy6_afsZq7ZtAGrSnVJy2u7WmY/edit?usp=share_link"",""นราธิวาส!J464"")+IMPORTRANGE(""https://docs.google.com/spreadsheets/d/1IwnW3-jjRf74MCLW-6P"&amp;"iFwMUffRQXZwZA7YM609NmRc/edit?usp=share_link"",""ปัตตานี!J464"")+IMPORTRANGE(""https://docs.google.com/spreadsheets/d/1vl4QWbWdFruual5o_wdo6ZSqXZ_it806oja4CctTLKs/edit?usp=share_link"",""พังงา!J464"")+IMPORTRANGE(""https://docs.google.com/spreadsheets/d/1"&amp;"b6QssHQp2FoAPSMKHOy273KNzAomaIKhtdlvuZ_zDNE/edit?usp=share_link"",""พัทลุง!J464"")+IMPORTRANGE(""https://docs.google.com/spreadsheets/d/1o7UZe4_OqlqtLDHrj01Z2YFRSZDf1DMy1n3XViHaxRc/edit?usp=share_link"",""ภูเก็ต!J464"")+IMPORTRANGE(""https://docs.google.c"&amp;"om/spreadsheets/d/1ctPm1vUzcUCPuOj9-eoHUD85PqINFqUB0TjdSWmR5-c/edit?usp=share_link"",""ยะลา!J464"")+IMPORTRANGE(""https://docs.google.com/spreadsheets/d/1YiDIE7Klmt8osgdapRqYWNr7iPGFSsiJqq46S7PYRE0/edit?usp=share_link"",""ระนอง!J464"")+IMPORTRANGE(""https"&amp;"://docs.google.com/spreadsheets/d/16o_4B-V7AWw_6E93bSpXj_XxVv1oVQctk-B6z1dNEWU/edit?usp=share_link"",""สงขลา!J464"")+IMPORTRANGE(""https://docs.google.com/spreadsheets/d/16cywr71Fj4fA5OGRHsZh30ZG2gwJhMAQv69oVBzYHv0/edit?usp=share_link"",""สตูล!J464"")+IMP"&amp;"ORTRANGE(""https://docs.google.com/spreadsheets/d/1vO9Sws6kMtrVtyvrAJptINXjK8TFBoX9xLYOVK_C8bQ/edit?usp=share_link"",""สุราษฎร์ธานี!J464"")"),255)</f>
        <v>255</v>
      </c>
      <c r="K464" s="37"/>
      <c r="L464" s="37"/>
      <c r="M464" s="37"/>
      <c r="N464" s="37"/>
      <c r="O464" s="37"/>
      <c r="P464" s="37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20.25" customHeight="1">
      <c r="A465" s="584">
        <v>3</v>
      </c>
      <c r="B465" s="585" t="s">
        <v>205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IFERROR(__xludf.DUMMYFUNCTION("IMPORTRANGE(""https://docs.google.com/spreadsheets/d/1kC41EOXpGBFOW658Fs3oD8beYlym0-zO54WY-2Qnp9I/edit?usp=share_link"",""กระบี่!I465"")
+IMPORTRANGE(""https://docs.google.com/spreadsheets/d/1FbzMZY_f3MDiEuK7RpCQKrilJ_kpX0Wm7QBZ1L7EjIU/edit?usp=share_link"&amp;""",""ชุมพร!I465"")+IMPORTRANGE(""https://docs.google.com/spreadsheets/d/1v5sN-00LrXuhBxw4dkh2GrG_z4l5oAqOdJRBCsUyMaM/edit?usp=share_link"",""ตรัง!I465"")+IMPORTRANGE(""https://docs.google.com/spreadsheets/d/1T5rRTzFc79aSIvqnzkZNvwPstq829QYz_xALlO1Z0s8/edi"&amp;"t?usp=share_link"",""นครศรีธรรมราช!I465"")+IMPORTRANGE(""https://docs.google.com/spreadsheets/d/1BeghqumK0IvCmRd2QOy6_afsZq7ZtAGrSnVJy2u7WmY/edit?usp=share_link"",""นราธิวาส!I465"")+IMPORTRANGE(""https://docs.google.com/spreadsheets/d/1IwnW3-jjRf74MCLW-6P"&amp;"iFwMUffRQXZwZA7YM609NmRc/edit?usp=share_link"",""ปัตตานี!I465"")+IMPORTRANGE(""https://docs.google.com/spreadsheets/d/1vl4QWbWdFruual5o_wdo6ZSqXZ_it806oja4CctTLKs/edit?usp=share_link"",""พังงา!I465"")+IMPORTRANGE(""https://docs.google.com/spreadsheets/d/1"&amp;"b6QssHQp2FoAPSMKHOy273KNzAomaIKhtdlvuZ_zDNE/edit?usp=share_link"",""พัทลุง!I465"")+IMPORTRANGE(""https://docs.google.com/spreadsheets/d/1o7UZe4_OqlqtLDHrj01Z2YFRSZDf1DMy1n3XViHaxRc/edit?usp=share_link"",""ภูเก็ต!I465"")+IMPORTRANGE(""https://docs.google.c"&amp;"om/spreadsheets/d/1ctPm1vUzcUCPuOj9-eoHUD85PqINFqUB0TjdSWmR5-c/edit?usp=share_link"",""ยะลา!I465"")+IMPORTRANGE(""https://docs.google.com/spreadsheets/d/1YiDIE7Klmt8osgdapRqYWNr7iPGFSsiJqq46S7PYRE0/edit?usp=share_link"",""ระนอง!I465"")+IMPORTRANGE(""https"&amp;"://docs.google.com/spreadsheets/d/16o_4B-V7AWw_6E93bSpXj_XxVv1oVQctk-B6z1dNEWU/edit?usp=share_link"",""สงขลา!I465"")+IMPORTRANGE(""https://docs.google.com/spreadsheets/d/16cywr71Fj4fA5OGRHsZh30ZG2gwJhMAQv69oVBzYHv0/edit?usp=share_link"",""สตูล!I465"")+IMP"&amp;"ORTRANGE(""https://docs.google.com/spreadsheets/d/1vO9Sws6kMtrVtyvrAJptINXjK8TFBoX9xLYOVK_C8bQ/edit?usp=share_link"",""สุราษฎร์ธานี!I465"")"),494)</f>
        <v>494</v>
      </c>
      <c r="J465" s="589">
        <f ca="1">J485+J489+J492</f>
        <v>500</v>
      </c>
      <c r="K465" s="590">
        <f t="shared" ref="K465:K466" ca="1" si="237">IF(I465&gt;0,J465*100/I465,0)</f>
        <v>101.21457489878543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20.25" customHeight="1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IFERROR(__xludf.DUMMYFUNCTION("IMPORTRANGE(""https://docs.google.com/spreadsheets/d/1kC41EOXpGBFOW658Fs3oD8beYlym0-zO54WY-2Qnp9I/edit?usp=share_link"",""กระบี่!I466"")
+IMPORTRANGE(""https://docs.google.com/spreadsheets/d/1FbzMZY_f3MDiEuK7RpCQKrilJ_kpX0Wm7QBZ1L7EjIU/edit?usp=share_link"&amp;""",""ชุมพร!I466"")+IMPORTRANGE(""https://docs.google.com/spreadsheets/d/1v5sN-00LrXuhBxw4dkh2GrG_z4l5oAqOdJRBCsUyMaM/edit?usp=share_link"",""ตรัง!I466"")+IMPORTRANGE(""https://docs.google.com/spreadsheets/d/1T5rRTzFc79aSIvqnzkZNvwPstq829QYz_xALlO1Z0s8/edi"&amp;"t?usp=share_link"",""นครศรีธรรมราช!I466"")+IMPORTRANGE(""https://docs.google.com/spreadsheets/d/1BeghqumK0IvCmRd2QOy6_afsZq7ZtAGrSnVJy2u7WmY/edit?usp=share_link"",""นราธิวาส!I466"")+IMPORTRANGE(""https://docs.google.com/spreadsheets/d/1IwnW3-jjRf74MCLW-6P"&amp;"iFwMUffRQXZwZA7YM609NmRc/edit?usp=share_link"",""ปัตตานี!I466"")+IMPORTRANGE(""https://docs.google.com/spreadsheets/d/1vl4QWbWdFruual5o_wdo6ZSqXZ_it806oja4CctTLKs/edit?usp=share_link"",""พังงา!I466"")+IMPORTRANGE(""https://docs.google.com/spreadsheets/d/1"&amp;"b6QssHQp2FoAPSMKHOy273KNzAomaIKhtdlvuZ_zDNE/edit?usp=share_link"",""พัทลุง!I466"")+IMPORTRANGE(""https://docs.google.com/spreadsheets/d/1o7UZe4_OqlqtLDHrj01Z2YFRSZDf1DMy1n3XViHaxRc/edit?usp=share_link"",""ภูเก็ต!I466"")+IMPORTRANGE(""https://docs.google.c"&amp;"om/spreadsheets/d/1ctPm1vUzcUCPuOj9-eoHUD85PqINFqUB0TjdSWmR5-c/edit?usp=share_link"",""ยะลา!I466"")+IMPORTRANGE(""https://docs.google.com/spreadsheets/d/1YiDIE7Klmt8osgdapRqYWNr7iPGFSsiJqq46S7PYRE0/edit?usp=share_link"",""ระนอง!I466"")+IMPORTRANGE(""https"&amp;"://docs.google.com/spreadsheets/d/16o_4B-V7AWw_6E93bSpXj_XxVv1oVQctk-B6z1dNEWU/edit?usp=share_link"",""สงขลา!I466"")+IMPORTRANGE(""https://docs.google.com/spreadsheets/d/16cywr71Fj4fA5OGRHsZh30ZG2gwJhMAQv69oVBzYHv0/edit?usp=share_link"",""สตูล!I466"")+IMP"&amp;"ORTRANGE(""https://docs.google.com/spreadsheets/d/1vO9Sws6kMtrVtyvrAJptINXjK8TFBoX9xLYOVK_C8bQ/edit?usp=share_link"",""สุราษฎร์ธานี!I466"")"),4800)</f>
        <v>4800</v>
      </c>
      <c r="J466" s="569">
        <f ca="1">J495+J498</f>
        <v>4780</v>
      </c>
      <c r="K466" s="570">
        <f t="shared" ca="1" si="237"/>
        <v>99.583333333333329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20.25" customHeight="1">
      <c r="A467" s="596"/>
      <c r="B467" s="575"/>
      <c r="C467" s="575" t="s">
        <v>16</v>
      </c>
      <c r="D467" s="887" t="s">
        <v>17</v>
      </c>
      <c r="E467" s="888"/>
      <c r="F467" s="888"/>
      <c r="G467" s="188"/>
      <c r="H467" s="597" t="s">
        <v>12</v>
      </c>
      <c r="I467" s="36"/>
      <c r="J467" s="36"/>
      <c r="K467" s="37"/>
      <c r="L467" s="194">
        <f t="shared" ref="L467:N467" ca="1" si="238">L468+L469</f>
        <v>4121187</v>
      </c>
      <c r="M467" s="194">
        <f t="shared" ca="1" si="238"/>
        <v>3989301</v>
      </c>
      <c r="N467" s="194">
        <f t="shared" ca="1" si="238"/>
        <v>3989301</v>
      </c>
      <c r="O467" s="194">
        <f t="shared" ref="O467:O472" ca="1" si="239">IF(L467&gt;0,N467*100/L467,0)</f>
        <v>96.799805492932009</v>
      </c>
      <c r="P467" s="194">
        <f t="shared" ref="P467:P472" ca="1" si="240">IF(M467&gt;0,N467*100/M467,0)</f>
        <v>100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20.25" hidden="1" customHeight="1">
      <c r="A468" s="598"/>
      <c r="B468" s="599"/>
      <c r="C468" s="599"/>
      <c r="D468" s="600"/>
      <c r="E468" s="601" t="s">
        <v>184</v>
      </c>
      <c r="F468" s="599"/>
      <c r="G468" s="602"/>
      <c r="H468" s="164" t="s">
        <v>12</v>
      </c>
      <c r="I468" s="43"/>
      <c r="J468" s="43"/>
      <c r="K468" s="44"/>
      <c r="L468" s="44">
        <f t="shared" ref="L468:N468" si="241">L471+L478</f>
        <v>0</v>
      </c>
      <c r="M468" s="44">
        <f t="shared" si="241"/>
        <v>0</v>
      </c>
      <c r="N468" s="44">
        <f t="shared" si="241"/>
        <v>0</v>
      </c>
      <c r="O468" s="44">
        <f t="shared" si="239"/>
        <v>0</v>
      </c>
      <c r="P468" s="44">
        <f t="shared" si="240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20.25" hidden="1" customHeight="1">
      <c r="A469" s="598"/>
      <c r="B469" s="604"/>
      <c r="C469" s="599"/>
      <c r="D469" s="600"/>
      <c r="E469" s="601" t="s">
        <v>185</v>
      </c>
      <c r="F469" s="599"/>
      <c r="G469" s="602"/>
      <c r="H469" s="164" t="s">
        <v>12</v>
      </c>
      <c r="I469" s="43"/>
      <c r="J469" s="43"/>
      <c r="K469" s="44"/>
      <c r="L469" s="44">
        <f t="shared" ref="L469:N469" ca="1" si="242">L472+L479</f>
        <v>4121187</v>
      </c>
      <c r="M469" s="44">
        <f t="shared" ca="1" si="242"/>
        <v>3989301</v>
      </c>
      <c r="N469" s="44">
        <f t="shared" ca="1" si="242"/>
        <v>3989301</v>
      </c>
      <c r="O469" s="44">
        <f t="shared" ca="1" si="239"/>
        <v>96.799805492932009</v>
      </c>
      <c r="P469" s="44">
        <f t="shared" ca="1" si="240"/>
        <v>100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20.25" customHeight="1">
      <c r="A470" s="596"/>
      <c r="B470" s="574"/>
      <c r="C470" s="575"/>
      <c r="D470" s="605" t="s">
        <v>20</v>
      </c>
      <c r="E470" s="575"/>
      <c r="F470" s="575"/>
      <c r="G470" s="188"/>
      <c r="H470" s="160" t="s">
        <v>12</v>
      </c>
      <c r="I470" s="161"/>
      <c r="J470" s="161"/>
      <c r="K470" s="162"/>
      <c r="L470" s="37">
        <f t="shared" ref="L470:N470" ca="1" si="243">L471+L472</f>
        <v>4121187</v>
      </c>
      <c r="M470" s="37">
        <f t="shared" ca="1" si="243"/>
        <v>3989301</v>
      </c>
      <c r="N470" s="37">
        <f t="shared" ca="1" si="243"/>
        <v>3989301</v>
      </c>
      <c r="O470" s="37">
        <f t="shared" ca="1" si="239"/>
        <v>96.799805492932009</v>
      </c>
      <c r="P470" s="37">
        <f t="shared" ca="1" si="240"/>
        <v>100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20.25" hidden="1" customHeight="1">
      <c r="A471" s="598"/>
      <c r="B471" s="604"/>
      <c r="C471" s="599"/>
      <c r="D471" s="600"/>
      <c r="E471" s="601" t="s">
        <v>184</v>
      </c>
      <c r="F471" s="599"/>
      <c r="G471" s="602"/>
      <c r="H471" s="164" t="s">
        <v>12</v>
      </c>
      <c r="I471" s="43"/>
      <c r="J471" s="43"/>
      <c r="K471" s="44"/>
      <c r="L471" s="92">
        <v>0</v>
      </c>
      <c r="M471" s="92">
        <v>0</v>
      </c>
      <c r="N471" s="92">
        <v>0</v>
      </c>
      <c r="O471" s="44">
        <f t="shared" si="239"/>
        <v>0</v>
      </c>
      <c r="P471" s="44">
        <f t="shared" si="240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20.25" hidden="1" customHeight="1">
      <c r="A472" s="598"/>
      <c r="B472" s="604"/>
      <c r="C472" s="599"/>
      <c r="D472" s="600"/>
      <c r="E472" s="601" t="s">
        <v>185</v>
      </c>
      <c r="F472" s="599"/>
      <c r="G472" s="602"/>
      <c r="H472" s="164" t="s">
        <v>12</v>
      </c>
      <c r="I472" s="43"/>
      <c r="J472" s="43"/>
      <c r="K472" s="44"/>
      <c r="L472" s="44">
        <f ca="1">IFERROR(__xludf.DUMMYFUNCTION("IMPORTRANGE(""https://docs.google.com/spreadsheets/d/1kC41EOXpGBFOW658Fs3oD8beYlym0-zO54WY-2Qnp9I/edit?usp=share_link"",""กระบี่!L472"")
+IMPORTRANGE(""https://docs.google.com/spreadsheets/d/1FbzMZY_f3MDiEuK7RpCQKrilJ_kpX0Wm7QBZ1L7EjIU/edit?usp=share_link"&amp;""",""ชุมพร!L472"")+IMPORTRANGE(""https://docs.google.com/spreadsheets/d/1v5sN-00LrXuhBxw4dkh2GrG_z4l5oAqOdJRBCsUyMaM/edit?usp=share_link"",""ตรัง!L472"")+IMPORTRANGE(""https://docs.google.com/spreadsheets/d/1T5rRTzFc79aSIvqnzkZNvwPstq829QYz_xALlO1Z0s8/edi"&amp;"t?usp=share_link"",""นครศรีธรรมราช!L472"")+IMPORTRANGE(""https://docs.google.com/spreadsheets/d/1BeghqumK0IvCmRd2QOy6_afsZq7ZtAGrSnVJy2u7WmY/edit?usp=share_link"",""นราธิวาส!L472"")+IMPORTRANGE(""https://docs.google.com/spreadsheets/d/1IwnW3-jjRf74MCLW-6P"&amp;"iFwMUffRQXZwZA7YM609NmRc/edit?usp=share_link"",""ปัตตานี!L472"")+IMPORTRANGE(""https://docs.google.com/spreadsheets/d/1vl4QWbWdFruual5o_wdo6ZSqXZ_it806oja4CctTLKs/edit?usp=share_link"",""พังงา!L472"")+IMPORTRANGE(""https://docs.google.com/spreadsheets/d/1"&amp;"b6QssHQp2FoAPSMKHOy273KNzAomaIKhtdlvuZ_zDNE/edit?usp=share_link"",""พัทลุง!L472"")+IMPORTRANGE(""https://docs.google.com/spreadsheets/d/1o7UZe4_OqlqtLDHrj01Z2YFRSZDf1DMy1n3XViHaxRc/edit?usp=share_link"",""ภูเก็ต!L472"")+IMPORTRANGE(""https://docs.google.c"&amp;"om/spreadsheets/d/1ctPm1vUzcUCPuOj9-eoHUD85PqINFqUB0TjdSWmR5-c/edit?usp=share_link"",""ยะลา!L472"")+IMPORTRANGE(""https://docs.google.com/spreadsheets/d/1YiDIE7Klmt8osgdapRqYWNr7iPGFSsiJqq46S7PYRE0/edit?usp=share_link"",""ระนอง!L472"")+IMPORTRANGE(""https"&amp;"://docs.google.com/spreadsheets/d/16o_4B-V7AWw_6E93bSpXj_XxVv1oVQctk-B6z1dNEWU/edit?usp=share_link"",""สงขลา!L472"")+IMPORTRANGE(""https://docs.google.com/spreadsheets/d/16cywr71Fj4fA5OGRHsZh30ZG2gwJhMAQv69oVBzYHv0/edit?usp=share_link"",""สตูล!L472"")+IMP"&amp;"ORTRANGE(""https://docs.google.com/spreadsheets/d/1vO9Sws6kMtrVtyvrAJptINXjK8TFBoX9xLYOVK_C8bQ/edit?usp=share_link"",""สุราษฎร์ธานี!L472"")"),4121187)</f>
        <v>4121187</v>
      </c>
      <c r="M472" s="92">
        <f ca="1">IFERROR(__xludf.DUMMYFUNCTION("IMPORTRANGE(""https://docs.google.com/spreadsheets/d/1kC41EOXpGBFOW658Fs3oD8beYlym0-zO54WY-2Qnp9I/edit?usp=share_link"",""กระบี่!M472"")
+IMPORTRANGE(""https://docs.google.com/spreadsheets/d/1FbzMZY_f3MDiEuK7RpCQKrilJ_kpX0Wm7QBZ1L7EjIU/edit?usp=share_link"&amp;""",""ชุมพร!M472"")+IMPORTRANGE(""https://docs.google.com/spreadsheets/d/1v5sN-00LrXuhBxw4dkh2GrG_z4l5oAqOdJRBCsUyMaM/edit?usp=share_link"",""ตรัง!M472"")+IMPORTRANGE(""https://docs.google.com/spreadsheets/d/1T5rRTzFc79aSIvqnzkZNvwPstq829QYz_xALlO1Z0s8/edi"&amp;"t?usp=share_link"",""นครศรีธรรมราช!M472"")+IMPORTRANGE(""https://docs.google.com/spreadsheets/d/1BeghqumK0IvCmRd2QOy6_afsZq7ZtAGrSnVJy2u7WmY/edit?usp=share_link"",""นราธิวาส!M472"")+IMPORTRANGE(""https://docs.google.com/spreadsheets/d/1IwnW3-jjRf74MCLW-6P"&amp;"iFwMUffRQXZwZA7YM609NmRc/edit?usp=share_link"",""ปัตตานี!M472"")+IMPORTRANGE(""https://docs.google.com/spreadsheets/d/1vl4QWbWdFruual5o_wdo6ZSqXZ_it806oja4CctTLKs/edit?usp=share_link"",""พังงา!M472"")+IMPORTRANGE(""https://docs.google.com/spreadsheets/d/1"&amp;"b6QssHQp2FoAPSMKHOy273KNzAomaIKhtdlvuZ_zDNE/edit?usp=share_link"",""พัทลุง!M472"")+IMPORTRANGE(""https://docs.google.com/spreadsheets/d/1o7UZe4_OqlqtLDHrj01Z2YFRSZDf1DMy1n3XViHaxRc/edit?usp=share_link"",""ภูเก็ต!M472"")+IMPORTRANGE(""https://docs.google.c"&amp;"om/spreadsheets/d/1ctPm1vUzcUCPuOj9-eoHUD85PqINFqUB0TjdSWmR5-c/edit?usp=share_link"",""ยะลา!M472"")+IMPORTRANGE(""https://docs.google.com/spreadsheets/d/1YiDIE7Klmt8osgdapRqYWNr7iPGFSsiJqq46S7PYRE0/edit?usp=share_link"",""ระนอง!M472"")+IMPORTRANGE(""https"&amp;"://docs.google.com/spreadsheets/d/16o_4B-V7AWw_6E93bSpXj_XxVv1oVQctk-B6z1dNEWU/edit?usp=share_link"",""สงขลา!M472"")+IMPORTRANGE(""https://docs.google.com/spreadsheets/d/16cywr71Fj4fA5OGRHsZh30ZG2gwJhMAQv69oVBzYHv0/edit?usp=share_link"",""สตูล!M472"")+IMP"&amp;"ORTRANGE(""https://docs.google.com/spreadsheets/d/1vO9Sws6kMtrVtyvrAJptINXjK8TFBoX9xLYOVK_C8bQ/edit?usp=share_link"",""สุราษฎร์ธานี!M472"")"),3989301)</f>
        <v>3989301</v>
      </c>
      <c r="N472" s="44">
        <f ca="1">N473+N474+N475+N476</f>
        <v>3989301</v>
      </c>
      <c r="O472" s="44">
        <f t="shared" ca="1" si="239"/>
        <v>96.799805492932009</v>
      </c>
      <c r="P472" s="44">
        <f t="shared" ca="1" si="240"/>
        <v>100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20.25" customHeight="1">
      <c r="A473" s="573"/>
      <c r="B473" s="574"/>
      <c r="C473" s="575"/>
      <c r="D473" s="575"/>
      <c r="E473" s="575"/>
      <c r="F473" s="576" t="s">
        <v>186</v>
      </c>
      <c r="G473" s="188"/>
      <c r="H473" s="160" t="s">
        <v>12</v>
      </c>
      <c r="I473" s="36"/>
      <c r="J473" s="36"/>
      <c r="K473" s="37"/>
      <c r="L473" s="37"/>
      <c r="M473" s="37"/>
      <c r="N473" s="282">
        <f ca="1">IFERROR(__xludf.DUMMYFUNCTION("IMPORTRANGE(""https://docs.google.com/spreadsheets/d/1kC41EOXpGBFOW658Fs3oD8beYlym0-zO54WY-2Qnp9I/edit?usp=share_link"",""กระบี่!N473"")
+IMPORTRANGE(""https://docs.google.com/spreadsheets/d/1FbzMZY_f3MDiEuK7RpCQKrilJ_kpX0Wm7QBZ1L7EjIU/edit?usp=share_link"&amp;""",""ชุมพร!N473"")+IMPORTRANGE(""https://docs.google.com/spreadsheets/d/1v5sN-00LrXuhBxw4dkh2GrG_z4l5oAqOdJRBCsUyMaM/edit?usp=share_link"",""ตรัง!N473"")+IMPORTRANGE(""https://docs.google.com/spreadsheets/d/1T5rRTzFc79aSIvqnzkZNvwPstq829QYz_xALlO1Z0s8/edi"&amp;"t?usp=share_link"",""นครศรีธรรมราช!N473"")+IMPORTRANGE(""https://docs.google.com/spreadsheets/d/1BeghqumK0IvCmRd2QOy6_afsZq7ZtAGrSnVJy2u7WmY/edit?usp=share_link"",""นราธิวาส!N473"")+IMPORTRANGE(""https://docs.google.com/spreadsheets/d/1IwnW3-jjRf74MCLW-6P"&amp;"iFwMUffRQXZwZA7YM609NmRc/edit?usp=share_link"",""ปัตตานี!N473"")+IMPORTRANGE(""https://docs.google.com/spreadsheets/d/1vl4QWbWdFruual5o_wdo6ZSqXZ_it806oja4CctTLKs/edit?usp=share_link"",""พังงา!N473"")+IMPORTRANGE(""https://docs.google.com/spreadsheets/d/1"&amp;"b6QssHQp2FoAPSMKHOy273KNzAomaIKhtdlvuZ_zDNE/edit?usp=share_link"",""พัทลุง!N473"")+IMPORTRANGE(""https://docs.google.com/spreadsheets/d/1o7UZe4_OqlqtLDHrj01Z2YFRSZDf1DMy1n3XViHaxRc/edit?usp=share_link"",""ภูเก็ต!N473"")+IMPORTRANGE(""https://docs.google.c"&amp;"om/spreadsheets/d/1ctPm1vUzcUCPuOj9-eoHUD85PqINFqUB0TjdSWmR5-c/edit?usp=share_link"",""ยะลา!N473"")+IMPORTRANGE(""https://docs.google.com/spreadsheets/d/1YiDIE7Klmt8osgdapRqYWNr7iPGFSsiJqq46S7PYRE0/edit?usp=share_link"",""ระนอง!N473"")+IMPORTRANGE(""https"&amp;"://docs.google.com/spreadsheets/d/16o_4B-V7AWw_6E93bSpXj_XxVv1oVQctk-B6z1dNEWU/edit?usp=share_link"",""สงขลา!N473"")+IMPORTRANGE(""https://docs.google.com/spreadsheets/d/16cywr71Fj4fA5OGRHsZh30ZG2gwJhMAQv69oVBzYHv0/edit?usp=share_link"",""สตูล!N473"")+IMP"&amp;"ORTRANGE(""https://docs.google.com/spreadsheets/d/1vO9Sws6kMtrVtyvrAJptINXjK8TFBoX9xLYOVK_C8bQ/edit?usp=share_link"",""สุราษฎร์ธานี!N473"")"),720499.72)</f>
        <v>720499.72</v>
      </c>
      <c r="O473" s="37"/>
      <c r="P473" s="37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20.25" customHeight="1">
      <c r="A474" s="573"/>
      <c r="B474" s="574"/>
      <c r="C474" s="575"/>
      <c r="D474" s="575"/>
      <c r="E474" s="575"/>
      <c r="F474" s="576" t="s">
        <v>187</v>
      </c>
      <c r="G474" s="188"/>
      <c r="H474" s="160" t="s">
        <v>12</v>
      </c>
      <c r="I474" s="36"/>
      <c r="J474" s="36"/>
      <c r="K474" s="37"/>
      <c r="L474" s="37"/>
      <c r="M474" s="37"/>
      <c r="N474" s="282">
        <f ca="1">IFERROR(__xludf.DUMMYFUNCTION("IMPORTRANGE(""https://docs.google.com/spreadsheets/d/1kC41EOXpGBFOW658Fs3oD8beYlym0-zO54WY-2Qnp9I/edit?usp=share_link"",""กระบี่!N474"")
+IMPORTRANGE(""https://docs.google.com/spreadsheets/d/1FbzMZY_f3MDiEuK7RpCQKrilJ_kpX0Wm7QBZ1L7EjIU/edit?usp=share_link"&amp;""",""ชุมพร!N474"")+IMPORTRANGE(""https://docs.google.com/spreadsheets/d/1v5sN-00LrXuhBxw4dkh2GrG_z4l5oAqOdJRBCsUyMaM/edit?usp=share_link"",""ตรัง!N474"")+IMPORTRANGE(""https://docs.google.com/spreadsheets/d/1T5rRTzFc79aSIvqnzkZNvwPstq829QYz_xALlO1Z0s8/edi"&amp;"t?usp=share_link"",""นครศรีธรรมราช!N474"")+IMPORTRANGE(""https://docs.google.com/spreadsheets/d/1BeghqumK0IvCmRd2QOy6_afsZq7ZtAGrSnVJy2u7WmY/edit?usp=share_link"",""นราธิวาส!N474"")+IMPORTRANGE(""https://docs.google.com/spreadsheets/d/1IwnW3-jjRf74MCLW-6P"&amp;"iFwMUffRQXZwZA7YM609NmRc/edit?usp=share_link"",""ปัตตานี!N474"")+IMPORTRANGE(""https://docs.google.com/spreadsheets/d/1vl4QWbWdFruual5o_wdo6ZSqXZ_it806oja4CctTLKs/edit?usp=share_link"",""พังงา!N474"")+IMPORTRANGE(""https://docs.google.com/spreadsheets/d/1"&amp;"b6QssHQp2FoAPSMKHOy273KNzAomaIKhtdlvuZ_zDNE/edit?usp=share_link"",""พัทลุง!N474"")+IMPORTRANGE(""https://docs.google.com/spreadsheets/d/1o7UZe4_OqlqtLDHrj01Z2YFRSZDf1DMy1n3XViHaxRc/edit?usp=share_link"",""ภูเก็ต!N474"")+IMPORTRANGE(""https://docs.google.c"&amp;"om/spreadsheets/d/1ctPm1vUzcUCPuOj9-eoHUD85PqINFqUB0TjdSWmR5-c/edit?usp=share_link"",""ยะลา!N474"")+IMPORTRANGE(""https://docs.google.com/spreadsheets/d/1YiDIE7Klmt8osgdapRqYWNr7iPGFSsiJqq46S7PYRE0/edit?usp=share_link"",""ระนอง!N474"")+IMPORTRANGE(""https"&amp;"://docs.google.com/spreadsheets/d/16o_4B-V7AWw_6E93bSpXj_XxVv1oVQctk-B6z1dNEWU/edit?usp=share_link"",""สงขลา!N474"")+IMPORTRANGE(""https://docs.google.com/spreadsheets/d/16cywr71Fj4fA5OGRHsZh30ZG2gwJhMAQv69oVBzYHv0/edit?usp=share_link"",""สตูล!N474"")+IMP"&amp;"ORTRANGE(""https://docs.google.com/spreadsheets/d/1vO9Sws6kMtrVtyvrAJptINXjK8TFBoX9xLYOVK_C8bQ/edit?usp=share_link"",""สุราษฎร์ธานี!N474"")"),2721423)</f>
        <v>2721423</v>
      </c>
      <c r="O474" s="37"/>
      <c r="P474" s="37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20.25" customHeight="1">
      <c r="A475" s="573"/>
      <c r="B475" s="574"/>
      <c r="C475" s="574"/>
      <c r="D475" s="574"/>
      <c r="E475" s="574"/>
      <c r="F475" s="576" t="s">
        <v>188</v>
      </c>
      <c r="G475" s="188"/>
      <c r="H475" s="160" t="s">
        <v>12</v>
      </c>
      <c r="I475" s="36"/>
      <c r="J475" s="36"/>
      <c r="K475" s="37"/>
      <c r="L475" s="37"/>
      <c r="M475" s="37"/>
      <c r="N475" s="282">
        <f ca="1">IFERROR(__xludf.DUMMYFUNCTION("IMPORTRANGE(""https://docs.google.com/spreadsheets/d/1kC41EOXpGBFOW658Fs3oD8beYlym0-zO54WY-2Qnp9I/edit?usp=share_link"",""กระบี่!N475"")
+IMPORTRANGE(""https://docs.google.com/spreadsheets/d/1FbzMZY_f3MDiEuK7RpCQKrilJ_kpX0Wm7QBZ1L7EjIU/edit?usp=share_link"&amp;""",""ชุมพร!N475"")+IMPORTRANGE(""https://docs.google.com/spreadsheets/d/1v5sN-00LrXuhBxw4dkh2GrG_z4l5oAqOdJRBCsUyMaM/edit?usp=share_link"",""ตรัง!N475"")+IMPORTRANGE(""https://docs.google.com/spreadsheets/d/1T5rRTzFc79aSIvqnzkZNvwPstq829QYz_xALlO1Z0s8/edi"&amp;"t?usp=share_link"",""นครศรีธรรมราช!N475"")+IMPORTRANGE(""https://docs.google.com/spreadsheets/d/1BeghqumK0IvCmRd2QOy6_afsZq7ZtAGrSnVJy2u7WmY/edit?usp=share_link"",""นราธิวาส!N475"")+IMPORTRANGE(""https://docs.google.com/spreadsheets/d/1IwnW3-jjRf74MCLW-6P"&amp;"iFwMUffRQXZwZA7YM609NmRc/edit?usp=share_link"",""ปัตตานี!N475"")+IMPORTRANGE(""https://docs.google.com/spreadsheets/d/1vl4QWbWdFruual5o_wdo6ZSqXZ_it806oja4CctTLKs/edit?usp=share_link"",""พังงา!N475"")+IMPORTRANGE(""https://docs.google.com/spreadsheets/d/1"&amp;"b6QssHQp2FoAPSMKHOy273KNzAomaIKhtdlvuZ_zDNE/edit?usp=share_link"",""พัทลุง!N475"")+IMPORTRANGE(""https://docs.google.com/spreadsheets/d/1o7UZe4_OqlqtLDHrj01Z2YFRSZDf1DMy1n3XViHaxRc/edit?usp=share_link"",""ภูเก็ต!N475"")+IMPORTRANGE(""https://docs.google.c"&amp;"om/spreadsheets/d/1ctPm1vUzcUCPuOj9-eoHUD85PqINFqUB0TjdSWmR5-c/edit?usp=share_link"",""ยะลา!N475"")+IMPORTRANGE(""https://docs.google.com/spreadsheets/d/1YiDIE7Klmt8osgdapRqYWNr7iPGFSsiJqq46S7PYRE0/edit?usp=share_link"",""ระนอง!N475"")+IMPORTRANGE(""https"&amp;"://docs.google.com/spreadsheets/d/16o_4B-V7AWw_6E93bSpXj_XxVv1oVQctk-B6z1dNEWU/edit?usp=share_link"",""สงขลา!N475"")+IMPORTRANGE(""https://docs.google.com/spreadsheets/d/16cywr71Fj4fA5OGRHsZh30ZG2gwJhMAQv69oVBzYHv0/edit?usp=share_link"",""สตูล!N475"")+IMP"&amp;"ORTRANGE(""https://docs.google.com/spreadsheets/d/1vO9Sws6kMtrVtyvrAJptINXjK8TFBoX9xLYOVK_C8bQ/edit?usp=share_link"",""สุราษฎร์ธานี!N475"")"),130500)</f>
        <v>130500</v>
      </c>
      <c r="O475" s="37"/>
      <c r="P475" s="37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20.25" customHeight="1">
      <c r="A476" s="573"/>
      <c r="B476" s="574"/>
      <c r="C476" s="574"/>
      <c r="D476" s="574"/>
      <c r="E476" s="574"/>
      <c r="F476" s="576" t="s">
        <v>189</v>
      </c>
      <c r="G476" s="188"/>
      <c r="H476" s="160" t="s">
        <v>12</v>
      </c>
      <c r="I476" s="36"/>
      <c r="J476" s="36"/>
      <c r="K476" s="37"/>
      <c r="L476" s="37"/>
      <c r="M476" s="37"/>
      <c r="N476" s="282">
        <f ca="1">IFERROR(__xludf.DUMMYFUNCTION("IMPORTRANGE(""https://docs.google.com/spreadsheets/d/1kC41EOXpGBFOW658Fs3oD8beYlym0-zO54WY-2Qnp9I/edit?usp=share_link"",""กระบี่!N476"")
+IMPORTRANGE(""https://docs.google.com/spreadsheets/d/1FbzMZY_f3MDiEuK7RpCQKrilJ_kpX0Wm7QBZ1L7EjIU/edit?usp=share_link"&amp;""",""ชุมพร!N476"")+IMPORTRANGE(""https://docs.google.com/spreadsheets/d/1v5sN-00LrXuhBxw4dkh2GrG_z4l5oAqOdJRBCsUyMaM/edit?usp=share_link"",""ตรัง!N476"")+IMPORTRANGE(""https://docs.google.com/spreadsheets/d/1T5rRTzFc79aSIvqnzkZNvwPstq829QYz_xALlO1Z0s8/edi"&amp;"t?usp=share_link"",""นครศรีธรรมราช!N476"")+IMPORTRANGE(""https://docs.google.com/spreadsheets/d/1BeghqumK0IvCmRd2QOy6_afsZq7ZtAGrSnVJy2u7WmY/edit?usp=share_link"",""นราธิวาส!N476"")+IMPORTRANGE(""https://docs.google.com/spreadsheets/d/1IwnW3-jjRf74MCLW-6P"&amp;"iFwMUffRQXZwZA7YM609NmRc/edit?usp=share_link"",""ปัตตานี!N476"")+IMPORTRANGE(""https://docs.google.com/spreadsheets/d/1vl4QWbWdFruual5o_wdo6ZSqXZ_it806oja4CctTLKs/edit?usp=share_link"",""พังงา!N476"")+IMPORTRANGE(""https://docs.google.com/spreadsheets/d/1"&amp;"b6QssHQp2FoAPSMKHOy273KNzAomaIKhtdlvuZ_zDNE/edit?usp=share_link"",""พัทลุง!N476"")+IMPORTRANGE(""https://docs.google.com/spreadsheets/d/1o7UZe4_OqlqtLDHrj01Z2YFRSZDf1DMy1n3XViHaxRc/edit?usp=share_link"",""ภูเก็ต!N476"")+IMPORTRANGE(""https://docs.google.c"&amp;"om/spreadsheets/d/1ctPm1vUzcUCPuOj9-eoHUD85PqINFqUB0TjdSWmR5-c/edit?usp=share_link"",""ยะลา!N476"")+IMPORTRANGE(""https://docs.google.com/spreadsheets/d/1YiDIE7Klmt8osgdapRqYWNr7iPGFSsiJqq46S7PYRE0/edit?usp=share_link"",""ระนอง!N476"")+IMPORTRANGE(""https"&amp;"://docs.google.com/spreadsheets/d/16o_4B-V7AWw_6E93bSpXj_XxVv1oVQctk-B6z1dNEWU/edit?usp=share_link"",""สงขลา!N476"")+IMPORTRANGE(""https://docs.google.com/spreadsheets/d/16cywr71Fj4fA5OGRHsZh30ZG2gwJhMAQv69oVBzYHv0/edit?usp=share_link"",""สตูล!N476"")+IMP"&amp;"ORTRANGE(""https://docs.google.com/spreadsheets/d/1vO9Sws6kMtrVtyvrAJptINXjK8TFBoX9xLYOVK_C8bQ/edit?usp=share_link"",""สุราษฎร์ธานี!N476"")"),416878.28)</f>
        <v>416878.28</v>
      </c>
      <c r="O476" s="37"/>
      <c r="P476" s="37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20.25" customHeight="1">
      <c r="A477" s="596"/>
      <c r="B477" s="574"/>
      <c r="C477" s="574"/>
      <c r="D477" s="605" t="s">
        <v>21</v>
      </c>
      <c r="E477" s="574"/>
      <c r="F477" s="574"/>
      <c r="G477" s="188"/>
      <c r="H477" s="167" t="s">
        <v>12</v>
      </c>
      <c r="I477" s="161"/>
      <c r="J477" s="161"/>
      <c r="K477" s="162"/>
      <c r="L477" s="37">
        <f t="shared" ref="L477:N477" ca="1" si="244">L478+L479</f>
        <v>0</v>
      </c>
      <c r="M477" s="37">
        <f t="shared" si="244"/>
        <v>0</v>
      </c>
      <c r="N477" s="37">
        <f t="shared" si="244"/>
        <v>0</v>
      </c>
      <c r="O477" s="37">
        <f t="shared" ref="O477:O479" ca="1" si="245">IF(L477&gt;0,N477*100/L477,0)</f>
        <v>0</v>
      </c>
      <c r="P477" s="37">
        <f t="shared" ref="P477:P479" si="246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20.25" hidden="1" customHeight="1">
      <c r="A478" s="598"/>
      <c r="B478" s="604"/>
      <c r="C478" s="604"/>
      <c r="D478" s="604"/>
      <c r="E478" s="606" t="s">
        <v>18</v>
      </c>
      <c r="F478" s="604"/>
      <c r="G478" s="602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44">
        <f t="shared" si="245"/>
        <v>0</v>
      </c>
      <c r="P478" s="44">
        <f t="shared" si="246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20.25" hidden="1" customHeight="1">
      <c r="A479" s="598"/>
      <c r="B479" s="604"/>
      <c r="C479" s="604"/>
      <c r="D479" s="604"/>
      <c r="E479" s="606" t="s">
        <v>19</v>
      </c>
      <c r="F479" s="604"/>
      <c r="G479" s="602"/>
      <c r="H479" s="168" t="s">
        <v>12</v>
      </c>
      <c r="I479" s="165"/>
      <c r="J479" s="165"/>
      <c r="K479" s="166"/>
      <c r="L479" s="44">
        <f ca="1">IFERROR(__xludf.DUMMYFUNCTION("IMPORTRANGE(""https://docs.google.com/spreadsheets/d/1kC41EOXpGBFOW658Fs3oD8beYlym0-zO54WY-2Qnp9I/edit?usp=share_link"",""กระบี่!L479"")
+IMPORTRANGE(""https://docs.google.com/spreadsheets/d/1FbzMZY_f3MDiEuK7RpCQKrilJ_kpX0Wm7QBZ1L7EjIU/edit?usp=share_link"&amp;""",""ชุมพร!L479"")+IMPORTRANGE(""https://docs.google.com/spreadsheets/d/1v5sN-00LrXuhBxw4dkh2GrG_z4l5oAqOdJRBCsUyMaM/edit?usp=share_link"",""ตรัง!L479"")+IMPORTRANGE(""https://docs.google.com/spreadsheets/d/1T5rRTzFc79aSIvqnzkZNvwPstq829QYz_xALlO1Z0s8/edi"&amp;"t?usp=share_link"",""นครศรีธรรมราช!L479"")+IMPORTRANGE(""https://docs.google.com/spreadsheets/d/1BeghqumK0IvCmRd2QOy6_afsZq7ZtAGrSnVJy2u7WmY/edit?usp=share_link"",""นราธิวาส!L479"")+IMPORTRANGE(""https://docs.google.com/spreadsheets/d/1IwnW3-jjRf74MCLW-6P"&amp;"iFwMUffRQXZwZA7YM609NmRc/edit?usp=share_link"",""ปัตตานี!L479"")+IMPORTRANGE(""https://docs.google.com/spreadsheets/d/1vl4QWbWdFruual5o_wdo6ZSqXZ_it806oja4CctTLKs/edit?usp=share_link"",""พังงา!L479"")+IMPORTRANGE(""https://docs.google.com/spreadsheets/d/1"&amp;"b6QssHQp2FoAPSMKHOy273KNzAomaIKhtdlvuZ_zDNE/edit?usp=share_link"",""พัทลุง!L479"")+IMPORTRANGE(""https://docs.google.com/spreadsheets/d/1o7UZe4_OqlqtLDHrj01Z2YFRSZDf1DMy1n3XViHaxRc/edit?usp=share_link"",""ภูเก็ต!L479"")+IMPORTRANGE(""https://docs.google.c"&amp;"om/spreadsheets/d/1ctPm1vUzcUCPuOj9-eoHUD85PqINFqUB0TjdSWmR5-c/edit?usp=share_link"",""ยะลา!L479"")+IMPORTRANGE(""https://docs.google.com/spreadsheets/d/1YiDIE7Klmt8osgdapRqYWNr7iPGFSsiJqq46S7PYRE0/edit?usp=share_link"",""ระนอง!L479"")+IMPORTRANGE(""https"&amp;"://docs.google.com/spreadsheets/d/16o_4B-V7AWw_6E93bSpXj_XxVv1oVQctk-B6z1dNEWU/edit?usp=share_link"",""สงขลา!L479"")+IMPORTRANGE(""https://docs.google.com/spreadsheets/d/16cywr71Fj4fA5OGRHsZh30ZG2gwJhMAQv69oVBzYHv0/edit?usp=share_link"",""สตูล!L479"")+IMP"&amp;"ORTRANGE(""https://docs.google.com/spreadsheets/d/1vO9Sws6kMtrVtyvrAJptINXjK8TFBoX9xLYOVK_C8bQ/edit?usp=share_link"",""สุราษฎร์ธานี!L479"")"),0)</f>
        <v>0</v>
      </c>
      <c r="M479" s="92">
        <v>0</v>
      </c>
      <c r="N479" s="92">
        <v>0</v>
      </c>
      <c r="O479" s="44">
        <f t="shared" ca="1" si="245"/>
        <v>0</v>
      </c>
      <c r="P479" s="44">
        <f t="shared" si="246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20.25" customHeight="1">
      <c r="A480" s="607"/>
      <c r="B480" s="608"/>
      <c r="C480" s="574" t="s">
        <v>16</v>
      </c>
      <c r="D480" s="620" t="s">
        <v>38</v>
      </c>
      <c r="E480" s="610"/>
      <c r="F480" s="611"/>
      <c r="G480" s="612"/>
      <c r="H480" s="174"/>
      <c r="I480" s="36"/>
      <c r="J480" s="36"/>
      <c r="K480" s="37"/>
      <c r="L480" s="37"/>
      <c r="M480" s="37"/>
      <c r="N480" s="37"/>
      <c r="O480" s="37"/>
      <c r="P480" s="37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20.25" customHeight="1">
      <c r="A481" s="607"/>
      <c r="B481" s="608"/>
      <c r="C481" s="608"/>
      <c r="D481" s="621" t="s">
        <v>206</v>
      </c>
      <c r="E481" s="608"/>
      <c r="F481" s="608"/>
      <c r="G481" s="174"/>
      <c r="H481" s="188"/>
      <c r="I481" s="36"/>
      <c r="J481" s="36"/>
      <c r="K481" s="37"/>
      <c r="L481" s="37"/>
      <c r="M481" s="37"/>
      <c r="N481" s="37"/>
      <c r="O481" s="37"/>
      <c r="P481" s="37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20.25" customHeight="1">
      <c r="A482" s="607"/>
      <c r="B482" s="608"/>
      <c r="C482" s="608"/>
      <c r="D482" s="608"/>
      <c r="E482" s="617" t="s">
        <v>207</v>
      </c>
      <c r="F482" s="608"/>
      <c r="G482" s="174"/>
      <c r="H482" s="188"/>
      <c r="I482" s="36"/>
      <c r="J482" s="36"/>
      <c r="K482" s="37"/>
      <c r="L482" s="37"/>
      <c r="M482" s="37"/>
      <c r="N482" s="37"/>
      <c r="O482" s="37"/>
      <c r="P482" s="37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20.25" customHeight="1">
      <c r="A483" s="607"/>
      <c r="B483" s="608"/>
      <c r="C483" s="608"/>
      <c r="D483" s="608"/>
      <c r="E483" s="608"/>
      <c r="F483" s="617" t="s">
        <v>208</v>
      </c>
      <c r="G483" s="174"/>
      <c r="H483" s="35" t="s">
        <v>46</v>
      </c>
      <c r="I483" s="36">
        <f ca="1">IFERROR(__xludf.DUMMYFUNCTION("IMPORTRANGE(""https://docs.google.com/spreadsheets/d/1kC41EOXpGBFOW658Fs3oD8beYlym0-zO54WY-2Qnp9I/edit?usp=share_link"",""กระบี่!I483"")
+IMPORTRANGE(""https://docs.google.com/spreadsheets/d/1FbzMZY_f3MDiEuK7RpCQKrilJ_kpX0Wm7QBZ1L7EjIU/edit?usp=share_link"&amp;""",""ชุมพร!I483"")+IMPORTRANGE(""https://docs.google.com/spreadsheets/d/1v5sN-00LrXuhBxw4dkh2GrG_z4l5oAqOdJRBCsUyMaM/edit?usp=share_link"",""ตรัง!I483"")+IMPORTRANGE(""https://docs.google.com/spreadsheets/d/1T5rRTzFc79aSIvqnzkZNvwPstq829QYz_xALlO1Z0s8/edi"&amp;"t?usp=share_link"",""นครศรีธรรมราช!I483"")+IMPORTRANGE(""https://docs.google.com/spreadsheets/d/1BeghqumK0IvCmRd2QOy6_afsZq7ZtAGrSnVJy2u7WmY/edit?usp=share_link"",""นราธิวาส!I483"")+IMPORTRANGE(""https://docs.google.com/spreadsheets/d/1IwnW3-jjRf74MCLW-6P"&amp;"iFwMUffRQXZwZA7YM609NmRc/edit?usp=share_link"",""ปัตตานี!I483"")+IMPORTRANGE(""https://docs.google.com/spreadsheets/d/1vl4QWbWdFruual5o_wdo6ZSqXZ_it806oja4CctTLKs/edit?usp=share_link"",""พังงา!I483"")+IMPORTRANGE(""https://docs.google.com/spreadsheets/d/1"&amp;"b6QssHQp2FoAPSMKHOy273KNzAomaIKhtdlvuZ_zDNE/edit?usp=share_link"",""พัทลุง!I483"")+IMPORTRANGE(""https://docs.google.com/spreadsheets/d/1o7UZe4_OqlqtLDHrj01Z2YFRSZDf1DMy1n3XViHaxRc/edit?usp=share_link"",""ภูเก็ต!I483"")+IMPORTRANGE(""https://docs.google.c"&amp;"om/spreadsheets/d/1ctPm1vUzcUCPuOj9-eoHUD85PqINFqUB0TjdSWmR5-c/edit?usp=share_link"",""ยะลา!I483"")+IMPORTRANGE(""https://docs.google.com/spreadsheets/d/1YiDIE7Klmt8osgdapRqYWNr7iPGFSsiJqq46S7PYRE0/edit?usp=share_link"",""ระนอง!I483"")+IMPORTRANGE(""https"&amp;"://docs.google.com/spreadsheets/d/16o_4B-V7AWw_6E93bSpXj_XxVv1oVQctk-B6z1dNEWU/edit?usp=share_link"",""สงขลา!I483"")+IMPORTRANGE(""https://docs.google.com/spreadsheets/d/16cywr71Fj4fA5OGRHsZh30ZG2gwJhMAQv69oVBzYHv0/edit?usp=share_link"",""สตูล!I483"")+IMP"&amp;"ORTRANGE(""https://docs.google.com/spreadsheets/d/1vO9Sws6kMtrVtyvrAJptINXjK8TFBoX9xLYOVK_C8bQ/edit?usp=share_link"",""สุราษฎร์ธานี!I483"")"),4320)</f>
        <v>4320</v>
      </c>
      <c r="J483" s="182">
        <f ca="1">IFERROR(__xludf.DUMMYFUNCTION("IMPORTRANGE(""https://docs.google.com/spreadsheets/d/1kC41EOXpGBFOW658Fs3oD8beYlym0-zO54WY-2Qnp9I/edit?usp=share_link"",""กระบี่!J483"")
+IMPORTRANGE(""https://docs.google.com/spreadsheets/d/1FbzMZY_f3MDiEuK7RpCQKrilJ_kpX0Wm7QBZ1L7EjIU/edit?usp=share_link"&amp;""",""ชุมพร!J483"")+IMPORTRANGE(""https://docs.google.com/spreadsheets/d/1v5sN-00LrXuhBxw4dkh2GrG_z4l5oAqOdJRBCsUyMaM/edit?usp=share_link"",""ตรัง!J483"")+IMPORTRANGE(""https://docs.google.com/spreadsheets/d/1T5rRTzFc79aSIvqnzkZNvwPstq829QYz_xALlO1Z0s8/edi"&amp;"t?usp=share_link"",""นครศรีธรรมราช!J483"")+IMPORTRANGE(""https://docs.google.com/spreadsheets/d/1BeghqumK0IvCmRd2QOy6_afsZq7ZtAGrSnVJy2u7WmY/edit?usp=share_link"",""นราธิวาส!J483"")+IMPORTRANGE(""https://docs.google.com/spreadsheets/d/1IwnW3-jjRf74MCLW-6P"&amp;"iFwMUffRQXZwZA7YM609NmRc/edit?usp=share_link"",""ปัตตานี!J483"")+IMPORTRANGE(""https://docs.google.com/spreadsheets/d/1vl4QWbWdFruual5o_wdo6ZSqXZ_it806oja4CctTLKs/edit?usp=share_link"",""พังงา!J483"")+IMPORTRANGE(""https://docs.google.com/spreadsheets/d/1"&amp;"b6QssHQp2FoAPSMKHOy273KNzAomaIKhtdlvuZ_zDNE/edit?usp=share_link"",""พัทลุง!J483"")+IMPORTRANGE(""https://docs.google.com/spreadsheets/d/1o7UZe4_OqlqtLDHrj01Z2YFRSZDf1DMy1n3XViHaxRc/edit?usp=share_link"",""ภูเก็ต!J483"")+IMPORTRANGE(""https://docs.google.c"&amp;"om/spreadsheets/d/1ctPm1vUzcUCPuOj9-eoHUD85PqINFqUB0TjdSWmR5-c/edit?usp=share_link"",""ยะลา!J483"")+IMPORTRANGE(""https://docs.google.com/spreadsheets/d/1YiDIE7Klmt8osgdapRqYWNr7iPGFSsiJqq46S7PYRE0/edit?usp=share_link"",""ระนอง!J483"")+IMPORTRANGE(""https"&amp;"://docs.google.com/spreadsheets/d/16o_4B-V7AWw_6E93bSpXj_XxVv1oVQctk-B6z1dNEWU/edit?usp=share_link"",""สงขลา!J483"")+IMPORTRANGE(""https://docs.google.com/spreadsheets/d/16cywr71Fj4fA5OGRHsZh30ZG2gwJhMAQv69oVBzYHv0/edit?usp=share_link"",""สตูล!J483"")+IMP"&amp;"ORTRANGE(""https://docs.google.com/spreadsheets/d/1vO9Sws6kMtrVtyvrAJptINXjK8TFBoX9xLYOVK_C8bQ/edit?usp=share_link"",""สุราษฎร์ธานี!J483"")"),4225)</f>
        <v>4225</v>
      </c>
      <c r="K483" s="37">
        <f ca="1">IF(I483&gt;0,J483*100/I483,0)</f>
        <v>97.800925925925924</v>
      </c>
      <c r="L483" s="37"/>
      <c r="M483" s="37"/>
      <c r="N483" s="37"/>
      <c r="O483" s="37"/>
      <c r="P483" s="37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20.25" customHeight="1">
      <c r="A484" s="607"/>
      <c r="B484" s="608"/>
      <c r="C484" s="608"/>
      <c r="D484" s="608"/>
      <c r="E484" s="608"/>
      <c r="F484" s="617" t="s">
        <v>209</v>
      </c>
      <c r="G484" s="174"/>
      <c r="H484" s="35" t="s">
        <v>35</v>
      </c>
      <c r="I484" s="36"/>
      <c r="J484" s="182">
        <f ca="1">IFERROR(__xludf.DUMMYFUNCTION("IMPORTRANGE(""https://docs.google.com/spreadsheets/d/1kC41EOXpGBFOW658Fs3oD8beYlym0-zO54WY-2Qnp9I/edit?usp=share_link"",""กระบี่!J484"")
+IMPORTRANGE(""https://docs.google.com/spreadsheets/d/1FbzMZY_f3MDiEuK7RpCQKrilJ_kpX0Wm7QBZ1L7EjIU/edit?usp=share_link"&amp;""",""ชุมพร!J484"")+IMPORTRANGE(""https://docs.google.com/spreadsheets/d/1v5sN-00LrXuhBxw4dkh2GrG_z4l5oAqOdJRBCsUyMaM/edit?usp=share_link"",""ตรัง!J484"")+IMPORTRANGE(""https://docs.google.com/spreadsheets/d/1T5rRTzFc79aSIvqnzkZNvwPstq829QYz_xALlO1Z0s8/edi"&amp;"t?usp=share_link"",""นครศรีธรรมราช!J484"")+IMPORTRANGE(""https://docs.google.com/spreadsheets/d/1BeghqumK0IvCmRd2QOy6_afsZq7ZtAGrSnVJy2u7WmY/edit?usp=share_link"",""นราธิวาส!J484"")+IMPORTRANGE(""https://docs.google.com/spreadsheets/d/1IwnW3-jjRf74MCLW-6P"&amp;"iFwMUffRQXZwZA7YM609NmRc/edit?usp=share_link"",""ปัตตานี!J484"")+IMPORTRANGE(""https://docs.google.com/spreadsheets/d/1vl4QWbWdFruual5o_wdo6ZSqXZ_it806oja4CctTLKs/edit?usp=share_link"",""พังงา!J484"")+IMPORTRANGE(""https://docs.google.com/spreadsheets/d/1"&amp;"b6QssHQp2FoAPSMKHOy273KNzAomaIKhtdlvuZ_zDNE/edit?usp=share_link"",""พัทลุง!J484"")+IMPORTRANGE(""https://docs.google.com/spreadsheets/d/1o7UZe4_OqlqtLDHrj01Z2YFRSZDf1DMy1n3XViHaxRc/edit?usp=share_link"",""ภูเก็ต!J484"")+IMPORTRANGE(""https://docs.google.c"&amp;"om/spreadsheets/d/1ctPm1vUzcUCPuOj9-eoHUD85PqINFqUB0TjdSWmR5-c/edit?usp=share_link"",""ยะลา!J484"")+IMPORTRANGE(""https://docs.google.com/spreadsheets/d/1YiDIE7Klmt8osgdapRqYWNr7iPGFSsiJqq46S7PYRE0/edit?usp=share_link"",""ระนอง!J484"")+IMPORTRANGE(""https"&amp;"://docs.google.com/spreadsheets/d/16o_4B-V7AWw_6E93bSpXj_XxVv1oVQctk-B6z1dNEWU/edit?usp=share_link"",""สงขลา!J484"")+IMPORTRANGE(""https://docs.google.com/spreadsheets/d/16cywr71Fj4fA5OGRHsZh30ZG2gwJhMAQv69oVBzYHv0/edit?usp=share_link"",""สตูล!J484"")+IMP"&amp;"ORTRANGE(""https://docs.google.com/spreadsheets/d/1vO9Sws6kMtrVtyvrAJptINXjK8TFBoX9xLYOVK_C8bQ/edit?usp=share_link"",""สุราษฎร์ธานี!J484"")"),347)</f>
        <v>347</v>
      </c>
      <c r="K484" s="37"/>
      <c r="L484" s="37"/>
      <c r="M484" s="37"/>
      <c r="N484" s="37"/>
      <c r="O484" s="37"/>
      <c r="P484" s="37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20.25" customHeight="1">
      <c r="A485" s="607"/>
      <c r="B485" s="608"/>
      <c r="C485" s="608"/>
      <c r="D485" s="608"/>
      <c r="E485" s="608"/>
      <c r="F485" s="617" t="s">
        <v>210</v>
      </c>
      <c r="G485" s="174"/>
      <c r="H485" s="35" t="s">
        <v>35</v>
      </c>
      <c r="I485" s="36">
        <f ca="1">IFERROR(__xludf.DUMMYFUNCTION("IMPORTRANGE(""https://docs.google.com/spreadsheets/d/1kC41EOXpGBFOW658Fs3oD8beYlym0-zO54WY-2Qnp9I/edit?usp=share_link"",""กระบี่!I485"")
+IMPORTRANGE(""https://docs.google.com/spreadsheets/d/1FbzMZY_f3MDiEuK7RpCQKrilJ_kpX0Wm7QBZ1L7EjIU/edit?usp=share_link"&amp;""",""ชุมพร!I485"")+IMPORTRANGE(""https://docs.google.com/spreadsheets/d/1v5sN-00LrXuhBxw4dkh2GrG_z4l5oAqOdJRBCsUyMaM/edit?usp=share_link"",""ตรัง!I485"")+IMPORTRANGE(""https://docs.google.com/spreadsheets/d/1T5rRTzFc79aSIvqnzkZNvwPstq829QYz_xALlO1Z0s8/edi"&amp;"t?usp=share_link"",""นครศรีธรรมราช!I485"")+IMPORTRANGE(""https://docs.google.com/spreadsheets/d/1BeghqumK0IvCmRd2QOy6_afsZq7ZtAGrSnVJy2u7WmY/edit?usp=share_link"",""นราธิวาส!I485"")+IMPORTRANGE(""https://docs.google.com/spreadsheets/d/1IwnW3-jjRf74MCLW-6P"&amp;"iFwMUffRQXZwZA7YM609NmRc/edit?usp=share_link"",""ปัตตานี!I485"")+IMPORTRANGE(""https://docs.google.com/spreadsheets/d/1vl4QWbWdFruual5o_wdo6ZSqXZ_it806oja4CctTLKs/edit?usp=share_link"",""พังงา!I485"")+IMPORTRANGE(""https://docs.google.com/spreadsheets/d/1"&amp;"b6QssHQp2FoAPSMKHOy273KNzAomaIKhtdlvuZ_zDNE/edit?usp=share_link"",""พัทลุง!I485"")+IMPORTRANGE(""https://docs.google.com/spreadsheets/d/1o7UZe4_OqlqtLDHrj01Z2YFRSZDf1DMy1n3XViHaxRc/edit?usp=share_link"",""ภูเก็ต!I485"")+IMPORTRANGE(""https://docs.google.c"&amp;"om/spreadsheets/d/1ctPm1vUzcUCPuOj9-eoHUD85PqINFqUB0TjdSWmR5-c/edit?usp=share_link"",""ยะลา!I485"")+IMPORTRANGE(""https://docs.google.com/spreadsheets/d/1YiDIE7Klmt8osgdapRqYWNr7iPGFSsiJqq46S7PYRE0/edit?usp=share_link"",""ระนอง!I485"")+IMPORTRANGE(""https"&amp;"://docs.google.com/spreadsheets/d/16o_4B-V7AWw_6E93bSpXj_XxVv1oVQctk-B6z1dNEWU/edit?usp=share_link"",""สงขลา!I485"")+IMPORTRANGE(""https://docs.google.com/spreadsheets/d/16cywr71Fj4fA5OGRHsZh30ZG2gwJhMAQv69oVBzYHv0/edit?usp=share_link"",""สตูล!I485"")+IMP"&amp;"ORTRANGE(""https://docs.google.com/spreadsheets/d/1vO9Sws6kMtrVtyvrAJptINXjK8TFBoX9xLYOVK_C8bQ/edit?usp=share_link"",""สุราษฎร์ธานี!I485"")"),432)</f>
        <v>432</v>
      </c>
      <c r="J485" s="182">
        <f ca="1">IFERROR(__xludf.DUMMYFUNCTION("IMPORTRANGE(""https://docs.google.com/spreadsheets/d/1kC41EOXpGBFOW658Fs3oD8beYlym0-zO54WY-2Qnp9I/edit?usp=share_link"",""กระบี่!J485"")
+IMPORTRANGE(""https://docs.google.com/spreadsheets/d/1FbzMZY_f3MDiEuK7RpCQKrilJ_kpX0Wm7QBZ1L7EjIU/edit?usp=share_link"&amp;""",""ชุมพร!J485"")+IMPORTRANGE(""https://docs.google.com/spreadsheets/d/1v5sN-00LrXuhBxw4dkh2GrG_z4l5oAqOdJRBCsUyMaM/edit?usp=share_link"",""ตรัง!J485"")+IMPORTRANGE(""https://docs.google.com/spreadsheets/d/1T5rRTzFc79aSIvqnzkZNvwPstq829QYz_xALlO1Z0s8/edi"&amp;"t?usp=share_link"",""นครศรีธรรมราช!J485"")+IMPORTRANGE(""https://docs.google.com/spreadsheets/d/1BeghqumK0IvCmRd2QOy6_afsZq7ZtAGrSnVJy2u7WmY/edit?usp=share_link"",""นราธิวาส!J485"")+IMPORTRANGE(""https://docs.google.com/spreadsheets/d/1IwnW3-jjRf74MCLW-6P"&amp;"iFwMUffRQXZwZA7YM609NmRc/edit?usp=share_link"",""ปัตตานี!J485"")+IMPORTRANGE(""https://docs.google.com/spreadsheets/d/1vl4QWbWdFruual5o_wdo6ZSqXZ_it806oja4CctTLKs/edit?usp=share_link"",""พังงา!J485"")+IMPORTRANGE(""https://docs.google.com/spreadsheets/d/1"&amp;"b6QssHQp2FoAPSMKHOy273KNzAomaIKhtdlvuZ_zDNE/edit?usp=share_link"",""พัทลุง!J485"")+IMPORTRANGE(""https://docs.google.com/spreadsheets/d/1o7UZe4_OqlqtLDHrj01Z2YFRSZDf1DMy1n3XViHaxRc/edit?usp=share_link"",""ภูเก็ต!J485"")+IMPORTRANGE(""https://docs.google.c"&amp;"om/spreadsheets/d/1ctPm1vUzcUCPuOj9-eoHUD85PqINFqUB0TjdSWmR5-c/edit?usp=share_link"",""ยะลา!J485"")+IMPORTRANGE(""https://docs.google.com/spreadsheets/d/1YiDIE7Klmt8osgdapRqYWNr7iPGFSsiJqq46S7PYRE0/edit?usp=share_link"",""ระนอง!J485"")+IMPORTRANGE(""https"&amp;"://docs.google.com/spreadsheets/d/16o_4B-V7AWw_6E93bSpXj_XxVv1oVQctk-B6z1dNEWU/edit?usp=share_link"",""สงขลา!J485"")+IMPORTRANGE(""https://docs.google.com/spreadsheets/d/16cywr71Fj4fA5OGRHsZh30ZG2gwJhMAQv69oVBzYHv0/edit?usp=share_link"",""สตูล!J485"")+IMP"&amp;"ORTRANGE(""https://docs.google.com/spreadsheets/d/1vO9Sws6kMtrVtyvrAJptINXjK8TFBoX9xLYOVK_C8bQ/edit?usp=share_link"",""สุราษฎร์ธานี!J485"")"),437)</f>
        <v>437</v>
      </c>
      <c r="K485" s="37">
        <f ca="1">IF(I485&gt;0,J485*100/I485,0)</f>
        <v>101.1574074074074</v>
      </c>
      <c r="L485" s="37"/>
      <c r="M485" s="37"/>
      <c r="N485" s="37"/>
      <c r="O485" s="37"/>
      <c r="P485" s="37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20.25" customHeight="1">
      <c r="A486" s="607"/>
      <c r="B486" s="608"/>
      <c r="C486" s="608"/>
      <c r="D486" s="608"/>
      <c r="E486" s="617" t="s">
        <v>62</v>
      </c>
      <c r="F486" s="608"/>
      <c r="G486" s="174"/>
      <c r="H486" s="35"/>
      <c r="I486" s="36"/>
      <c r="J486" s="36"/>
      <c r="K486" s="37"/>
      <c r="L486" s="37"/>
      <c r="M486" s="37"/>
      <c r="N486" s="37"/>
      <c r="O486" s="37"/>
      <c r="P486" s="37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20.25" customHeight="1">
      <c r="A487" s="607"/>
      <c r="B487" s="608"/>
      <c r="C487" s="608"/>
      <c r="D487" s="608"/>
      <c r="E487" s="608"/>
      <c r="F487" s="617" t="s">
        <v>208</v>
      </c>
      <c r="G487" s="174"/>
      <c r="H487" s="35" t="s">
        <v>46</v>
      </c>
      <c r="I487" s="36">
        <f ca="1">IFERROR(__xludf.DUMMYFUNCTION("IMPORTRANGE(""https://docs.google.com/spreadsheets/d/1kC41EOXpGBFOW658Fs3oD8beYlym0-zO54WY-2Qnp9I/edit?usp=share_link"",""กระบี่!I487"")
+IMPORTRANGE(""https://docs.google.com/spreadsheets/d/1FbzMZY_f3MDiEuK7RpCQKrilJ_kpX0Wm7QBZ1L7EjIU/edit?usp=share_link"&amp;""",""ชุมพร!I487"")+IMPORTRANGE(""https://docs.google.com/spreadsheets/d/1v5sN-00LrXuhBxw4dkh2GrG_z4l5oAqOdJRBCsUyMaM/edit?usp=share_link"",""ตรัง!I487"")+IMPORTRANGE(""https://docs.google.com/spreadsheets/d/1T5rRTzFc79aSIvqnzkZNvwPstq829QYz_xALlO1Z0s8/edi"&amp;"t?usp=share_link"",""นครศรีธรรมราช!I487"")+IMPORTRANGE(""https://docs.google.com/spreadsheets/d/1BeghqumK0IvCmRd2QOy6_afsZq7ZtAGrSnVJy2u7WmY/edit?usp=share_link"",""นราธิวาส!I487"")+IMPORTRANGE(""https://docs.google.com/spreadsheets/d/1IwnW3-jjRf74MCLW-6P"&amp;"iFwMUffRQXZwZA7YM609NmRc/edit?usp=share_link"",""ปัตตานี!I487"")+IMPORTRANGE(""https://docs.google.com/spreadsheets/d/1vl4QWbWdFruual5o_wdo6ZSqXZ_it806oja4CctTLKs/edit?usp=share_link"",""พังงา!I487"")+IMPORTRANGE(""https://docs.google.com/spreadsheets/d/1"&amp;"b6QssHQp2FoAPSMKHOy273KNzAomaIKhtdlvuZ_zDNE/edit?usp=share_link"",""พัทลุง!I487"")+IMPORTRANGE(""https://docs.google.com/spreadsheets/d/1o7UZe4_OqlqtLDHrj01Z2YFRSZDf1DMy1n3XViHaxRc/edit?usp=share_link"",""ภูเก็ต!I487"")+IMPORTRANGE(""https://docs.google.c"&amp;"om/spreadsheets/d/1ctPm1vUzcUCPuOj9-eoHUD85PqINFqUB0TjdSWmR5-c/edit?usp=share_link"",""ยะลา!I487"")+IMPORTRANGE(""https://docs.google.com/spreadsheets/d/1YiDIE7Klmt8osgdapRqYWNr7iPGFSsiJqq46S7PYRE0/edit?usp=share_link"",""ระนอง!I487"")+IMPORTRANGE(""https"&amp;"://docs.google.com/spreadsheets/d/16o_4B-V7AWw_6E93bSpXj_XxVv1oVQctk-B6z1dNEWU/edit?usp=share_link"",""สงขลา!I487"")+IMPORTRANGE(""https://docs.google.com/spreadsheets/d/16cywr71Fj4fA5OGRHsZh30ZG2gwJhMAQv69oVBzYHv0/edit?usp=share_link"",""สตูล!I487"")+IMP"&amp;"ORTRANGE(""https://docs.google.com/spreadsheets/d/1vO9Sws6kMtrVtyvrAJptINXjK8TFBoX9xLYOVK_C8bQ/edit?usp=share_link"",""สุราษฎร์ธานี!I487"")"),480)</f>
        <v>480</v>
      </c>
      <c r="J487" s="182">
        <f ca="1">IFERROR(__xludf.DUMMYFUNCTION("IMPORTRANGE(""https://docs.google.com/spreadsheets/d/1kC41EOXpGBFOW658Fs3oD8beYlym0-zO54WY-2Qnp9I/edit?usp=share_link"",""กระบี่!J487"")
+IMPORTRANGE(""https://docs.google.com/spreadsheets/d/1FbzMZY_f3MDiEuK7RpCQKrilJ_kpX0Wm7QBZ1L7EjIU/edit?usp=share_link"&amp;""",""ชุมพร!J487"")+IMPORTRANGE(""https://docs.google.com/spreadsheets/d/1v5sN-00LrXuhBxw4dkh2GrG_z4l5oAqOdJRBCsUyMaM/edit?usp=share_link"",""ตรัง!J487"")+IMPORTRANGE(""https://docs.google.com/spreadsheets/d/1T5rRTzFc79aSIvqnzkZNvwPstq829QYz_xALlO1Z0s8/edi"&amp;"t?usp=share_link"",""นครศรีธรรมราช!J487"")+IMPORTRANGE(""https://docs.google.com/spreadsheets/d/1BeghqumK0IvCmRd2QOy6_afsZq7ZtAGrSnVJy2u7WmY/edit?usp=share_link"",""นราธิวาส!J487"")+IMPORTRANGE(""https://docs.google.com/spreadsheets/d/1IwnW3-jjRf74MCLW-6P"&amp;"iFwMUffRQXZwZA7YM609NmRc/edit?usp=share_link"",""ปัตตานี!J487"")+IMPORTRANGE(""https://docs.google.com/spreadsheets/d/1vl4QWbWdFruual5o_wdo6ZSqXZ_it806oja4CctTLKs/edit?usp=share_link"",""พังงา!J487"")+IMPORTRANGE(""https://docs.google.com/spreadsheets/d/1"&amp;"b6QssHQp2FoAPSMKHOy273KNzAomaIKhtdlvuZ_zDNE/edit?usp=share_link"",""พัทลุง!J487"")+IMPORTRANGE(""https://docs.google.com/spreadsheets/d/1o7UZe4_OqlqtLDHrj01Z2YFRSZDf1DMy1n3XViHaxRc/edit?usp=share_link"",""ภูเก็ต!J487"")+IMPORTRANGE(""https://docs.google.c"&amp;"om/spreadsheets/d/1ctPm1vUzcUCPuOj9-eoHUD85PqINFqUB0TjdSWmR5-c/edit?usp=share_link"",""ยะลา!J487"")+IMPORTRANGE(""https://docs.google.com/spreadsheets/d/1YiDIE7Klmt8osgdapRqYWNr7iPGFSsiJqq46S7PYRE0/edit?usp=share_link"",""ระนอง!J487"")+IMPORTRANGE(""https"&amp;"://docs.google.com/spreadsheets/d/16o_4B-V7AWw_6E93bSpXj_XxVv1oVQctk-B6z1dNEWU/edit?usp=share_link"",""สงขลา!J487"")+IMPORTRANGE(""https://docs.google.com/spreadsheets/d/16cywr71Fj4fA5OGRHsZh30ZG2gwJhMAQv69oVBzYHv0/edit?usp=share_link"",""สตูล!J487"")+IMP"&amp;"ORTRANGE(""https://docs.google.com/spreadsheets/d/1vO9Sws6kMtrVtyvrAJptINXjK8TFBoX9xLYOVK_C8bQ/edit?usp=share_link"",""สุราษฎร์ธานี!J487"")"),469)</f>
        <v>469</v>
      </c>
      <c r="K487" s="37">
        <f ca="1">IF(I487&gt;0,J487*100/I487,0)</f>
        <v>97.708333333333329</v>
      </c>
      <c r="L487" s="37"/>
      <c r="M487" s="37"/>
      <c r="N487" s="37"/>
      <c r="O487" s="37"/>
      <c r="P487" s="37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20.25" customHeight="1">
      <c r="A488" s="607"/>
      <c r="B488" s="608"/>
      <c r="C488" s="608"/>
      <c r="D488" s="608"/>
      <c r="E488" s="608"/>
      <c r="F488" s="617" t="s">
        <v>211</v>
      </c>
      <c r="G488" s="174"/>
      <c r="H488" s="35" t="s">
        <v>35</v>
      </c>
      <c r="I488" s="36"/>
      <c r="J488" s="182">
        <f ca="1">IFERROR(__xludf.DUMMYFUNCTION("IMPORTRANGE(""https://docs.google.com/spreadsheets/d/1kC41EOXpGBFOW658Fs3oD8beYlym0-zO54WY-2Qnp9I/edit?usp=share_link"",""กระบี่!J488"")
+IMPORTRANGE(""https://docs.google.com/spreadsheets/d/1FbzMZY_f3MDiEuK7RpCQKrilJ_kpX0Wm7QBZ1L7EjIU/edit?usp=share_link"&amp;""",""ชุมพร!J488"")+IMPORTRANGE(""https://docs.google.com/spreadsheets/d/1v5sN-00LrXuhBxw4dkh2GrG_z4l5oAqOdJRBCsUyMaM/edit?usp=share_link"",""ตรัง!J488"")+IMPORTRANGE(""https://docs.google.com/spreadsheets/d/1T5rRTzFc79aSIvqnzkZNvwPstq829QYz_xALlO1Z0s8/edi"&amp;"t?usp=share_link"",""นครศรีธรรมราช!J488"")+IMPORTRANGE(""https://docs.google.com/spreadsheets/d/1BeghqumK0IvCmRd2QOy6_afsZq7ZtAGrSnVJy2u7WmY/edit?usp=share_link"",""นราธิวาส!J488"")+IMPORTRANGE(""https://docs.google.com/spreadsheets/d/1IwnW3-jjRf74MCLW-6P"&amp;"iFwMUffRQXZwZA7YM609NmRc/edit?usp=share_link"",""ปัตตานี!J488"")+IMPORTRANGE(""https://docs.google.com/spreadsheets/d/1vl4QWbWdFruual5o_wdo6ZSqXZ_it806oja4CctTLKs/edit?usp=share_link"",""พังงา!J488"")+IMPORTRANGE(""https://docs.google.com/spreadsheets/d/1"&amp;"b6QssHQp2FoAPSMKHOy273KNzAomaIKhtdlvuZ_zDNE/edit?usp=share_link"",""พัทลุง!J488"")+IMPORTRANGE(""https://docs.google.com/spreadsheets/d/1o7UZe4_OqlqtLDHrj01Z2YFRSZDf1DMy1n3XViHaxRc/edit?usp=share_link"",""ภูเก็ต!J488"")+IMPORTRANGE(""https://docs.google.c"&amp;"om/spreadsheets/d/1ctPm1vUzcUCPuOj9-eoHUD85PqINFqUB0TjdSWmR5-c/edit?usp=share_link"",""ยะลา!J488"")+IMPORTRANGE(""https://docs.google.com/spreadsheets/d/1YiDIE7Klmt8osgdapRqYWNr7iPGFSsiJqq46S7PYRE0/edit?usp=share_link"",""ระนอง!J488"")+IMPORTRANGE(""https"&amp;"://docs.google.com/spreadsheets/d/16o_4B-V7AWw_6E93bSpXj_XxVv1oVQctk-B6z1dNEWU/edit?usp=share_link"",""สงขลา!J488"")+IMPORTRANGE(""https://docs.google.com/spreadsheets/d/16cywr71Fj4fA5OGRHsZh30ZG2gwJhMAQv69oVBzYHv0/edit?usp=share_link"",""สตูล!J488"")+IMP"&amp;"ORTRANGE(""https://docs.google.com/spreadsheets/d/1vO9Sws6kMtrVtyvrAJptINXjK8TFBoX9xLYOVK_C8bQ/edit?usp=share_link"",""สุราษฎร์ธานี!J488"")"),42)</f>
        <v>42</v>
      </c>
      <c r="K488" s="37"/>
      <c r="L488" s="37"/>
      <c r="M488" s="37"/>
      <c r="N488" s="37"/>
      <c r="O488" s="37"/>
      <c r="P488" s="37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20.25" customHeight="1">
      <c r="A489" s="607"/>
      <c r="B489" s="608"/>
      <c r="C489" s="608"/>
      <c r="D489" s="608"/>
      <c r="E489" s="608"/>
      <c r="F489" s="617" t="s">
        <v>212</v>
      </c>
      <c r="G489" s="174"/>
      <c r="H489" s="622" t="s">
        <v>35</v>
      </c>
      <c r="I489" s="36">
        <f ca="1">IFERROR(__xludf.DUMMYFUNCTION("IMPORTRANGE(""https://docs.google.com/spreadsheets/d/1kC41EOXpGBFOW658Fs3oD8beYlym0-zO54WY-2Qnp9I/edit?usp=share_link"",""กระบี่!I489"")
+IMPORTRANGE(""https://docs.google.com/spreadsheets/d/1FbzMZY_f3MDiEuK7RpCQKrilJ_kpX0Wm7QBZ1L7EjIU/edit?usp=share_link"&amp;""",""ชุมพร!I489"")+IMPORTRANGE(""https://docs.google.com/spreadsheets/d/1v5sN-00LrXuhBxw4dkh2GrG_z4l5oAqOdJRBCsUyMaM/edit?usp=share_link"",""ตรัง!I489"")+IMPORTRANGE(""https://docs.google.com/spreadsheets/d/1T5rRTzFc79aSIvqnzkZNvwPstq829QYz_xALlO1Z0s8/edi"&amp;"t?usp=share_link"",""นครศรีธรรมราช!I489"")+IMPORTRANGE(""https://docs.google.com/spreadsheets/d/1BeghqumK0IvCmRd2QOy6_afsZq7ZtAGrSnVJy2u7WmY/edit?usp=share_link"",""นราธิวาส!I489"")+IMPORTRANGE(""https://docs.google.com/spreadsheets/d/1IwnW3-jjRf74MCLW-6P"&amp;"iFwMUffRQXZwZA7YM609NmRc/edit?usp=share_link"",""ปัตตานี!I489"")+IMPORTRANGE(""https://docs.google.com/spreadsheets/d/1vl4QWbWdFruual5o_wdo6ZSqXZ_it806oja4CctTLKs/edit?usp=share_link"",""พังงา!I489"")+IMPORTRANGE(""https://docs.google.com/spreadsheets/d/1"&amp;"b6QssHQp2FoAPSMKHOy273KNzAomaIKhtdlvuZ_zDNE/edit?usp=share_link"",""พัทลุง!I489"")+IMPORTRANGE(""https://docs.google.com/spreadsheets/d/1o7UZe4_OqlqtLDHrj01Z2YFRSZDf1DMy1n3XViHaxRc/edit?usp=share_link"",""ภูเก็ต!I489"")+IMPORTRANGE(""https://docs.google.c"&amp;"om/spreadsheets/d/1ctPm1vUzcUCPuOj9-eoHUD85PqINFqUB0TjdSWmR5-c/edit?usp=share_link"",""ยะลา!I489"")+IMPORTRANGE(""https://docs.google.com/spreadsheets/d/1YiDIE7Klmt8osgdapRqYWNr7iPGFSsiJqq46S7PYRE0/edit?usp=share_link"",""ระนอง!I489"")+IMPORTRANGE(""https"&amp;"://docs.google.com/spreadsheets/d/16o_4B-V7AWw_6E93bSpXj_XxVv1oVQctk-B6z1dNEWU/edit?usp=share_link"",""สงขลา!I489"")+IMPORTRANGE(""https://docs.google.com/spreadsheets/d/16cywr71Fj4fA5OGRHsZh30ZG2gwJhMAQv69oVBzYHv0/edit?usp=share_link"",""สตูล!I489"")+IMP"&amp;"ORTRANGE(""https://docs.google.com/spreadsheets/d/1vO9Sws6kMtrVtyvrAJptINXjK8TFBoX9xLYOVK_C8bQ/edit?usp=share_link"",""สุราษฎร์ธานี!I489"")"),48)</f>
        <v>48</v>
      </c>
      <c r="J489" s="182">
        <f ca="1">IFERROR(__xludf.DUMMYFUNCTION("IMPORTRANGE(""https://docs.google.com/spreadsheets/d/1kC41EOXpGBFOW658Fs3oD8beYlym0-zO54WY-2Qnp9I/edit?usp=share_link"",""กระบี่!J489"")
+IMPORTRANGE(""https://docs.google.com/spreadsheets/d/1FbzMZY_f3MDiEuK7RpCQKrilJ_kpX0Wm7QBZ1L7EjIU/edit?usp=share_link"&amp;""",""ชุมพร!J489"")+IMPORTRANGE(""https://docs.google.com/spreadsheets/d/1v5sN-00LrXuhBxw4dkh2GrG_z4l5oAqOdJRBCsUyMaM/edit?usp=share_link"",""ตรัง!J489"")+IMPORTRANGE(""https://docs.google.com/spreadsheets/d/1T5rRTzFc79aSIvqnzkZNvwPstq829QYz_xALlO1Z0s8/edi"&amp;"t?usp=share_link"",""นครศรีธรรมราช!J489"")+IMPORTRANGE(""https://docs.google.com/spreadsheets/d/1BeghqumK0IvCmRd2QOy6_afsZq7ZtAGrSnVJy2u7WmY/edit?usp=share_link"",""นราธิวาส!J489"")+IMPORTRANGE(""https://docs.google.com/spreadsheets/d/1IwnW3-jjRf74MCLW-6P"&amp;"iFwMUffRQXZwZA7YM609NmRc/edit?usp=share_link"",""ปัตตานี!J489"")+IMPORTRANGE(""https://docs.google.com/spreadsheets/d/1vl4QWbWdFruual5o_wdo6ZSqXZ_it806oja4CctTLKs/edit?usp=share_link"",""พังงา!J489"")+IMPORTRANGE(""https://docs.google.com/spreadsheets/d/1"&amp;"b6QssHQp2FoAPSMKHOy273KNzAomaIKhtdlvuZ_zDNE/edit?usp=share_link"",""พัทลุง!J489"")+IMPORTRANGE(""https://docs.google.com/spreadsheets/d/1o7UZe4_OqlqtLDHrj01Z2YFRSZDf1DMy1n3XViHaxRc/edit?usp=share_link"",""ภูเก็ต!J489"")+IMPORTRANGE(""https://docs.google.c"&amp;"om/spreadsheets/d/1ctPm1vUzcUCPuOj9-eoHUD85PqINFqUB0TjdSWmR5-c/edit?usp=share_link"",""ยะลา!J489"")+IMPORTRANGE(""https://docs.google.com/spreadsheets/d/1YiDIE7Klmt8osgdapRqYWNr7iPGFSsiJqq46S7PYRE0/edit?usp=share_link"",""ระนอง!J489"")+IMPORTRANGE(""https"&amp;"://docs.google.com/spreadsheets/d/16o_4B-V7AWw_6E93bSpXj_XxVv1oVQctk-B6z1dNEWU/edit?usp=share_link"",""สงขลา!J489"")+IMPORTRANGE(""https://docs.google.com/spreadsheets/d/16cywr71Fj4fA5OGRHsZh30ZG2gwJhMAQv69oVBzYHv0/edit?usp=share_link"",""สตูล!J489"")+IMP"&amp;"ORTRANGE(""https://docs.google.com/spreadsheets/d/1vO9Sws6kMtrVtyvrAJptINXjK8TFBoX9xLYOVK_C8bQ/edit?usp=share_link"",""สุราษฎร์ธานี!J489"")"),49)</f>
        <v>49</v>
      </c>
      <c r="K489" s="37">
        <f ca="1">IF(I489&gt;0,J489*100/I489,0)</f>
        <v>102.08333333333333</v>
      </c>
      <c r="L489" s="37"/>
      <c r="M489" s="37"/>
      <c r="N489" s="37"/>
      <c r="O489" s="37"/>
      <c r="P489" s="37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20.25" customHeight="1">
      <c r="A490" s="607"/>
      <c r="B490" s="608"/>
      <c r="C490" s="608"/>
      <c r="D490" s="608"/>
      <c r="E490" s="617" t="s">
        <v>63</v>
      </c>
      <c r="F490" s="623"/>
      <c r="G490" s="174"/>
      <c r="H490" s="622"/>
      <c r="I490" s="36"/>
      <c r="J490" s="36"/>
      <c r="K490" s="37"/>
      <c r="L490" s="37"/>
      <c r="M490" s="37"/>
      <c r="N490" s="37"/>
      <c r="O490" s="37"/>
      <c r="P490" s="37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20.25" customHeight="1">
      <c r="A491" s="607"/>
      <c r="B491" s="608"/>
      <c r="C491" s="608"/>
      <c r="D491" s="608"/>
      <c r="E491" s="608"/>
      <c r="F491" s="617" t="s">
        <v>213</v>
      </c>
      <c r="G491" s="174"/>
      <c r="H491" s="35" t="s">
        <v>35</v>
      </c>
      <c r="I491" s="36"/>
      <c r="J491" s="182">
        <f ca="1">IFERROR(__xludf.DUMMYFUNCTION("IMPORTRANGE(""https://docs.google.com/spreadsheets/d/1kC41EOXpGBFOW658Fs3oD8beYlym0-zO54WY-2Qnp9I/edit?usp=share_link"",""กระบี่!J491"")
+IMPORTRANGE(""https://docs.google.com/spreadsheets/d/1FbzMZY_f3MDiEuK7RpCQKrilJ_kpX0Wm7QBZ1L7EjIU/edit?usp=share_link"&amp;""",""ชุมพร!J491"")+IMPORTRANGE(""https://docs.google.com/spreadsheets/d/1v5sN-00LrXuhBxw4dkh2GrG_z4l5oAqOdJRBCsUyMaM/edit?usp=share_link"",""ตรัง!J491"")+IMPORTRANGE(""https://docs.google.com/spreadsheets/d/1T5rRTzFc79aSIvqnzkZNvwPstq829QYz_xALlO1Z0s8/edi"&amp;"t?usp=share_link"",""นครศรีธรรมราช!J491"")+IMPORTRANGE(""https://docs.google.com/spreadsheets/d/1BeghqumK0IvCmRd2QOy6_afsZq7ZtAGrSnVJy2u7WmY/edit?usp=share_link"",""นราธิวาส!J491"")+IMPORTRANGE(""https://docs.google.com/spreadsheets/d/1IwnW3-jjRf74MCLW-6P"&amp;"iFwMUffRQXZwZA7YM609NmRc/edit?usp=share_link"",""ปัตตานี!J491"")+IMPORTRANGE(""https://docs.google.com/spreadsheets/d/1vl4QWbWdFruual5o_wdo6ZSqXZ_it806oja4CctTLKs/edit?usp=share_link"",""พังงา!J491"")+IMPORTRANGE(""https://docs.google.com/spreadsheets/d/1"&amp;"b6QssHQp2FoAPSMKHOy273KNzAomaIKhtdlvuZ_zDNE/edit?usp=share_link"",""พัทลุง!J491"")+IMPORTRANGE(""https://docs.google.com/spreadsheets/d/1o7UZe4_OqlqtLDHrj01Z2YFRSZDf1DMy1n3XViHaxRc/edit?usp=share_link"",""ภูเก็ต!J491"")+IMPORTRANGE(""https://docs.google.c"&amp;"om/spreadsheets/d/1ctPm1vUzcUCPuOj9-eoHUD85PqINFqUB0TjdSWmR5-c/edit?usp=share_link"",""ยะลา!J491"")+IMPORTRANGE(""https://docs.google.com/spreadsheets/d/1YiDIE7Klmt8osgdapRqYWNr7iPGFSsiJqq46S7PYRE0/edit?usp=share_link"",""ระนอง!J491"")+IMPORTRANGE(""https"&amp;"://docs.google.com/spreadsheets/d/16o_4B-V7AWw_6E93bSpXj_XxVv1oVQctk-B6z1dNEWU/edit?usp=share_link"",""สงขลา!J491"")+IMPORTRANGE(""https://docs.google.com/spreadsheets/d/16cywr71Fj4fA5OGRHsZh30ZG2gwJhMAQv69oVBzYHv0/edit?usp=share_link"",""สตูล!J491"")+IMP"&amp;"ORTRANGE(""https://docs.google.com/spreadsheets/d/1vO9Sws6kMtrVtyvrAJptINXjK8TFBoX9xLYOVK_C8bQ/edit?usp=share_link"",""สุราษฎร์ธานี!J491"")"),10)</f>
        <v>10</v>
      </c>
      <c r="K491" s="37"/>
      <c r="L491" s="37"/>
      <c r="M491" s="37"/>
      <c r="N491" s="37"/>
      <c r="O491" s="37"/>
      <c r="P491" s="37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20.25" customHeight="1">
      <c r="A492" s="607"/>
      <c r="B492" s="608"/>
      <c r="C492" s="608"/>
      <c r="D492" s="608"/>
      <c r="E492" s="608"/>
      <c r="F492" s="617" t="s">
        <v>214</v>
      </c>
      <c r="G492" s="174"/>
      <c r="H492" s="35" t="s">
        <v>35</v>
      </c>
      <c r="I492" s="36">
        <f ca="1">IFERROR(__xludf.DUMMYFUNCTION("IMPORTRANGE(""https://docs.google.com/spreadsheets/d/1kC41EOXpGBFOW658Fs3oD8beYlym0-zO54WY-2Qnp9I/edit?usp=share_link"",""กระบี่!I492"")
+IMPORTRANGE(""https://docs.google.com/spreadsheets/d/1FbzMZY_f3MDiEuK7RpCQKrilJ_kpX0Wm7QBZ1L7EjIU/edit?usp=share_link"&amp;""",""ชุมพร!I492"")+IMPORTRANGE(""https://docs.google.com/spreadsheets/d/1v5sN-00LrXuhBxw4dkh2GrG_z4l5oAqOdJRBCsUyMaM/edit?usp=share_link"",""ตรัง!I492"")+IMPORTRANGE(""https://docs.google.com/spreadsheets/d/1T5rRTzFc79aSIvqnzkZNvwPstq829QYz_xALlO1Z0s8/edi"&amp;"t?usp=share_link"",""นครศรีธรรมราช!I492"")+IMPORTRANGE(""https://docs.google.com/spreadsheets/d/1BeghqumK0IvCmRd2QOy6_afsZq7ZtAGrSnVJy2u7WmY/edit?usp=share_link"",""นราธิวาส!I492"")+IMPORTRANGE(""https://docs.google.com/spreadsheets/d/1IwnW3-jjRf74MCLW-6P"&amp;"iFwMUffRQXZwZA7YM609NmRc/edit?usp=share_link"",""ปัตตานี!I492"")+IMPORTRANGE(""https://docs.google.com/spreadsheets/d/1vl4QWbWdFruual5o_wdo6ZSqXZ_it806oja4CctTLKs/edit?usp=share_link"",""พังงา!I492"")+IMPORTRANGE(""https://docs.google.com/spreadsheets/d/1"&amp;"b6QssHQp2FoAPSMKHOy273KNzAomaIKhtdlvuZ_zDNE/edit?usp=share_link"",""พัทลุง!I492"")+IMPORTRANGE(""https://docs.google.com/spreadsheets/d/1o7UZe4_OqlqtLDHrj01Z2YFRSZDf1DMy1n3XViHaxRc/edit?usp=share_link"",""ภูเก็ต!I492"")+IMPORTRANGE(""https://docs.google.c"&amp;"om/spreadsheets/d/1ctPm1vUzcUCPuOj9-eoHUD85PqINFqUB0TjdSWmR5-c/edit?usp=share_link"",""ยะลา!I492"")+IMPORTRANGE(""https://docs.google.com/spreadsheets/d/1YiDIE7Klmt8osgdapRqYWNr7iPGFSsiJqq46S7PYRE0/edit?usp=share_link"",""ระนอง!I492"")+IMPORTRANGE(""https"&amp;"://docs.google.com/spreadsheets/d/16o_4B-V7AWw_6E93bSpXj_XxVv1oVQctk-B6z1dNEWU/edit?usp=share_link"",""สงขลา!I492"")+IMPORTRANGE(""https://docs.google.com/spreadsheets/d/16cywr71Fj4fA5OGRHsZh30ZG2gwJhMAQv69oVBzYHv0/edit?usp=share_link"",""สตูล!I492"")+IMP"&amp;"ORTRANGE(""https://docs.google.com/spreadsheets/d/1vO9Sws6kMtrVtyvrAJptINXjK8TFBoX9xLYOVK_C8bQ/edit?usp=share_link"",""สุราษฎร์ธานี!I492"")"),14)</f>
        <v>14</v>
      </c>
      <c r="J492" s="182">
        <f ca="1">IFERROR(__xludf.DUMMYFUNCTION("IMPORTRANGE(""https://docs.google.com/spreadsheets/d/1kC41EOXpGBFOW658Fs3oD8beYlym0-zO54WY-2Qnp9I/edit?usp=share_link"",""กระบี่!J492"")
+IMPORTRANGE(""https://docs.google.com/spreadsheets/d/1FbzMZY_f3MDiEuK7RpCQKrilJ_kpX0Wm7QBZ1L7EjIU/edit?usp=share_link"&amp;""",""ชุมพร!J492"")+IMPORTRANGE(""https://docs.google.com/spreadsheets/d/1v5sN-00LrXuhBxw4dkh2GrG_z4l5oAqOdJRBCsUyMaM/edit?usp=share_link"",""ตรัง!J492"")+IMPORTRANGE(""https://docs.google.com/spreadsheets/d/1T5rRTzFc79aSIvqnzkZNvwPstq829QYz_xALlO1Z0s8/edi"&amp;"t?usp=share_link"",""นครศรีธรรมราช!J492"")+IMPORTRANGE(""https://docs.google.com/spreadsheets/d/1BeghqumK0IvCmRd2QOy6_afsZq7ZtAGrSnVJy2u7WmY/edit?usp=share_link"",""นราธิวาส!J492"")+IMPORTRANGE(""https://docs.google.com/spreadsheets/d/1IwnW3-jjRf74MCLW-6P"&amp;"iFwMUffRQXZwZA7YM609NmRc/edit?usp=share_link"",""ปัตตานี!J492"")+IMPORTRANGE(""https://docs.google.com/spreadsheets/d/1vl4QWbWdFruual5o_wdo6ZSqXZ_it806oja4CctTLKs/edit?usp=share_link"",""พังงา!J492"")+IMPORTRANGE(""https://docs.google.com/spreadsheets/d/1"&amp;"b6QssHQp2FoAPSMKHOy273KNzAomaIKhtdlvuZ_zDNE/edit?usp=share_link"",""พัทลุง!J492"")+IMPORTRANGE(""https://docs.google.com/spreadsheets/d/1o7UZe4_OqlqtLDHrj01Z2YFRSZDf1DMy1n3XViHaxRc/edit?usp=share_link"",""ภูเก็ต!J492"")+IMPORTRANGE(""https://docs.google.c"&amp;"om/spreadsheets/d/1ctPm1vUzcUCPuOj9-eoHUD85PqINFqUB0TjdSWmR5-c/edit?usp=share_link"",""ยะลา!J492"")+IMPORTRANGE(""https://docs.google.com/spreadsheets/d/1YiDIE7Klmt8osgdapRqYWNr7iPGFSsiJqq46S7PYRE0/edit?usp=share_link"",""ระนอง!J492"")+IMPORTRANGE(""https"&amp;"://docs.google.com/spreadsheets/d/16o_4B-V7AWw_6E93bSpXj_XxVv1oVQctk-B6z1dNEWU/edit?usp=share_link"",""สงขลา!J492"")+IMPORTRANGE(""https://docs.google.com/spreadsheets/d/16cywr71Fj4fA5OGRHsZh30ZG2gwJhMAQv69oVBzYHv0/edit?usp=share_link"",""สตูล!J492"")+IMP"&amp;"ORTRANGE(""https://docs.google.com/spreadsheets/d/1vO9Sws6kMtrVtyvrAJptINXjK8TFBoX9xLYOVK_C8bQ/edit?usp=share_link"",""สุราษฎร์ธานี!J492"")"),14)</f>
        <v>14</v>
      </c>
      <c r="K492" s="37">
        <f ca="1">IF(I492&gt;0,J492*100/I492,0)</f>
        <v>100</v>
      </c>
      <c r="L492" s="37"/>
      <c r="M492" s="37"/>
      <c r="N492" s="37"/>
      <c r="O492" s="37"/>
      <c r="P492" s="37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20.25" customHeight="1">
      <c r="A493" s="607"/>
      <c r="B493" s="608"/>
      <c r="C493" s="608"/>
      <c r="D493" s="624" t="s">
        <v>59</v>
      </c>
      <c r="E493" s="608"/>
      <c r="F493" s="618"/>
      <c r="G493" s="174"/>
      <c r="H493" s="188"/>
      <c r="I493" s="36"/>
      <c r="J493" s="36"/>
      <c r="K493" s="37"/>
      <c r="L493" s="37"/>
      <c r="M493" s="37"/>
      <c r="N493" s="37"/>
      <c r="O493" s="37"/>
      <c r="P493" s="37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20.25" customHeight="1">
      <c r="A494" s="607"/>
      <c r="B494" s="608"/>
      <c r="C494" s="608"/>
      <c r="D494" s="608"/>
      <c r="E494" s="617" t="s">
        <v>207</v>
      </c>
      <c r="F494" s="618"/>
      <c r="G494" s="174"/>
      <c r="H494" s="188"/>
      <c r="I494" s="36"/>
      <c r="J494" s="36"/>
      <c r="K494" s="37"/>
      <c r="L494" s="37"/>
      <c r="M494" s="37"/>
      <c r="N494" s="37"/>
      <c r="O494" s="37"/>
      <c r="P494" s="37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20.25" customHeight="1">
      <c r="A495" s="607"/>
      <c r="B495" s="608"/>
      <c r="C495" s="608"/>
      <c r="D495" s="608"/>
      <c r="E495" s="608"/>
      <c r="F495" s="186" t="s">
        <v>215</v>
      </c>
      <c r="G495" s="174"/>
      <c r="H495" s="35" t="s">
        <v>46</v>
      </c>
      <c r="I495" s="36">
        <f ca="1">IFERROR(__xludf.DUMMYFUNCTION("IMPORTRANGE(""https://docs.google.com/spreadsheets/d/1kC41EOXpGBFOW658Fs3oD8beYlym0-zO54WY-2Qnp9I/edit?usp=share_link"",""กระบี่!I495"")
+IMPORTRANGE(""https://docs.google.com/spreadsheets/d/1FbzMZY_f3MDiEuK7RpCQKrilJ_kpX0Wm7QBZ1L7EjIU/edit?usp=share_link"&amp;""",""ชุมพร!I495"")+IMPORTRANGE(""https://docs.google.com/spreadsheets/d/1v5sN-00LrXuhBxw4dkh2GrG_z4l5oAqOdJRBCsUyMaM/edit?usp=share_link"",""ตรัง!I495"")+IMPORTRANGE(""https://docs.google.com/spreadsheets/d/1T5rRTzFc79aSIvqnzkZNvwPstq829QYz_xALlO1Z0s8/edi"&amp;"t?usp=share_link"",""นครศรีธรรมราช!I495"")+IMPORTRANGE(""https://docs.google.com/spreadsheets/d/1BeghqumK0IvCmRd2QOy6_afsZq7ZtAGrSnVJy2u7WmY/edit?usp=share_link"",""นราธิวาส!I495"")+IMPORTRANGE(""https://docs.google.com/spreadsheets/d/1IwnW3-jjRf74MCLW-6P"&amp;"iFwMUffRQXZwZA7YM609NmRc/edit?usp=share_link"",""ปัตตานี!I495"")+IMPORTRANGE(""https://docs.google.com/spreadsheets/d/1vl4QWbWdFruual5o_wdo6ZSqXZ_it806oja4CctTLKs/edit?usp=share_link"",""พังงา!I495"")+IMPORTRANGE(""https://docs.google.com/spreadsheets/d/1"&amp;"b6QssHQp2FoAPSMKHOy273KNzAomaIKhtdlvuZ_zDNE/edit?usp=share_link"",""พัทลุง!I495"")+IMPORTRANGE(""https://docs.google.com/spreadsheets/d/1o7UZe4_OqlqtLDHrj01Z2YFRSZDf1DMy1n3XViHaxRc/edit?usp=share_link"",""ภูเก็ต!I495"")+IMPORTRANGE(""https://docs.google.c"&amp;"om/spreadsheets/d/1ctPm1vUzcUCPuOj9-eoHUD85PqINFqUB0TjdSWmR5-c/edit?usp=share_link"",""ยะลา!I495"")+IMPORTRANGE(""https://docs.google.com/spreadsheets/d/1YiDIE7Klmt8osgdapRqYWNr7iPGFSsiJqq46S7PYRE0/edit?usp=share_link"",""ระนอง!I495"")+IMPORTRANGE(""https"&amp;"://docs.google.com/spreadsheets/d/16o_4B-V7AWw_6E93bSpXj_XxVv1oVQctk-B6z1dNEWU/edit?usp=share_link"",""สงขลา!I495"")+IMPORTRANGE(""https://docs.google.com/spreadsheets/d/16cywr71Fj4fA5OGRHsZh30ZG2gwJhMAQv69oVBzYHv0/edit?usp=share_link"",""สตูล!I495"")+IMP"&amp;"ORTRANGE(""https://docs.google.com/spreadsheets/d/1vO9Sws6kMtrVtyvrAJptINXjK8TFBoX9xLYOVK_C8bQ/edit?usp=share_link"",""สุราษฎร์ธานี!I495"")"),4320)</f>
        <v>4320</v>
      </c>
      <c r="J495" s="182">
        <f ca="1">IFERROR(__xludf.DUMMYFUNCTION("IMPORTRANGE(""https://docs.google.com/spreadsheets/d/1kC41EOXpGBFOW658Fs3oD8beYlym0-zO54WY-2Qnp9I/edit?usp=share_link"",""กระบี่!J495"")
+IMPORTRANGE(""https://docs.google.com/spreadsheets/d/1FbzMZY_f3MDiEuK7RpCQKrilJ_kpX0Wm7QBZ1L7EjIU/edit?usp=share_link"&amp;""",""ชุมพร!J495"")+IMPORTRANGE(""https://docs.google.com/spreadsheets/d/1v5sN-00LrXuhBxw4dkh2GrG_z4l5oAqOdJRBCsUyMaM/edit?usp=share_link"",""ตรัง!J495"")+IMPORTRANGE(""https://docs.google.com/spreadsheets/d/1T5rRTzFc79aSIvqnzkZNvwPstq829QYz_xALlO1Z0s8/edi"&amp;"t?usp=share_link"",""นครศรีธรรมราช!J495"")+IMPORTRANGE(""https://docs.google.com/spreadsheets/d/1BeghqumK0IvCmRd2QOy6_afsZq7ZtAGrSnVJy2u7WmY/edit?usp=share_link"",""นราธิวาส!J495"")+IMPORTRANGE(""https://docs.google.com/spreadsheets/d/1IwnW3-jjRf74MCLW-6P"&amp;"iFwMUffRQXZwZA7YM609NmRc/edit?usp=share_link"",""ปัตตานี!J495"")+IMPORTRANGE(""https://docs.google.com/spreadsheets/d/1vl4QWbWdFruual5o_wdo6ZSqXZ_it806oja4CctTLKs/edit?usp=share_link"",""พังงา!J495"")+IMPORTRANGE(""https://docs.google.com/spreadsheets/d/1"&amp;"b6QssHQp2FoAPSMKHOy273KNzAomaIKhtdlvuZ_zDNE/edit?usp=share_link"",""พัทลุง!J495"")+IMPORTRANGE(""https://docs.google.com/spreadsheets/d/1o7UZe4_OqlqtLDHrj01Z2YFRSZDf1DMy1n3XViHaxRc/edit?usp=share_link"",""ภูเก็ต!J495"")+IMPORTRANGE(""https://docs.google.c"&amp;"om/spreadsheets/d/1ctPm1vUzcUCPuOj9-eoHUD85PqINFqUB0TjdSWmR5-c/edit?usp=share_link"",""ยะลา!J495"")+IMPORTRANGE(""https://docs.google.com/spreadsheets/d/1YiDIE7Klmt8osgdapRqYWNr7iPGFSsiJqq46S7PYRE0/edit?usp=share_link"",""ระนอง!J495"")+IMPORTRANGE(""https"&amp;"://docs.google.com/spreadsheets/d/16o_4B-V7AWw_6E93bSpXj_XxVv1oVQctk-B6z1dNEWU/edit?usp=share_link"",""สงขลา!J495"")+IMPORTRANGE(""https://docs.google.com/spreadsheets/d/16cywr71Fj4fA5OGRHsZh30ZG2gwJhMAQv69oVBzYHv0/edit?usp=share_link"",""สตูล!J495"")+IMP"&amp;"ORTRANGE(""https://docs.google.com/spreadsheets/d/1vO9Sws6kMtrVtyvrAJptINXjK8TFBoX9xLYOVK_C8bQ/edit?usp=share_link"",""สุราษฎร์ธานี!J495"")"),4300)</f>
        <v>4300</v>
      </c>
      <c r="K495" s="37">
        <f ca="1">IF(I495&gt;0,J495*100/I495,0)</f>
        <v>99.537037037037038</v>
      </c>
      <c r="L495" s="37"/>
      <c r="M495" s="37"/>
      <c r="N495" s="37"/>
      <c r="O495" s="37"/>
      <c r="P495" s="37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20.25" customHeight="1">
      <c r="A496" s="607"/>
      <c r="B496" s="608"/>
      <c r="C496" s="608"/>
      <c r="D496" s="608"/>
      <c r="E496" s="608"/>
      <c r="F496" s="186" t="s">
        <v>216</v>
      </c>
      <c r="G496" s="174"/>
      <c r="H496" s="35" t="s">
        <v>46</v>
      </c>
      <c r="I496" s="36"/>
      <c r="J496" s="182">
        <f ca="1">IFERROR(__xludf.DUMMYFUNCTION("IMPORTRANGE(""https://docs.google.com/spreadsheets/d/1kC41EOXpGBFOW658Fs3oD8beYlym0-zO54WY-2Qnp9I/edit?usp=share_link"",""กระบี่!J496"")
+IMPORTRANGE(""https://docs.google.com/spreadsheets/d/1FbzMZY_f3MDiEuK7RpCQKrilJ_kpX0Wm7QBZ1L7EjIU/edit?usp=share_link"&amp;""",""ชุมพร!J496"")+IMPORTRANGE(""https://docs.google.com/spreadsheets/d/1v5sN-00LrXuhBxw4dkh2GrG_z4l5oAqOdJRBCsUyMaM/edit?usp=share_link"",""ตรัง!J496"")+IMPORTRANGE(""https://docs.google.com/spreadsheets/d/1T5rRTzFc79aSIvqnzkZNvwPstq829QYz_xALlO1Z0s8/edi"&amp;"t?usp=share_link"",""นครศรีธรรมราช!J496"")+IMPORTRANGE(""https://docs.google.com/spreadsheets/d/1BeghqumK0IvCmRd2QOy6_afsZq7ZtAGrSnVJy2u7WmY/edit?usp=share_link"",""นราธิวาส!J496"")+IMPORTRANGE(""https://docs.google.com/spreadsheets/d/1IwnW3-jjRf74MCLW-6P"&amp;"iFwMUffRQXZwZA7YM609NmRc/edit?usp=share_link"",""ปัตตานี!J496"")+IMPORTRANGE(""https://docs.google.com/spreadsheets/d/1vl4QWbWdFruual5o_wdo6ZSqXZ_it806oja4CctTLKs/edit?usp=share_link"",""พังงา!J496"")+IMPORTRANGE(""https://docs.google.com/spreadsheets/d/1"&amp;"b6QssHQp2FoAPSMKHOy273KNzAomaIKhtdlvuZ_zDNE/edit?usp=share_link"",""พัทลุง!J496"")+IMPORTRANGE(""https://docs.google.com/spreadsheets/d/1o7UZe4_OqlqtLDHrj01Z2YFRSZDf1DMy1n3XViHaxRc/edit?usp=share_link"",""ภูเก็ต!J496"")+IMPORTRANGE(""https://docs.google.c"&amp;"om/spreadsheets/d/1ctPm1vUzcUCPuOj9-eoHUD85PqINFqUB0TjdSWmR5-c/edit?usp=share_link"",""ยะลา!J496"")+IMPORTRANGE(""https://docs.google.com/spreadsheets/d/1YiDIE7Klmt8osgdapRqYWNr7iPGFSsiJqq46S7PYRE0/edit?usp=share_link"",""ระนอง!J496"")+IMPORTRANGE(""https"&amp;"://docs.google.com/spreadsheets/d/16o_4B-V7AWw_6E93bSpXj_XxVv1oVQctk-B6z1dNEWU/edit?usp=share_link"",""สงขลา!J496"")+IMPORTRANGE(""https://docs.google.com/spreadsheets/d/16cywr71Fj4fA5OGRHsZh30ZG2gwJhMAQv69oVBzYHv0/edit?usp=share_link"",""สตูล!J496"")+IMP"&amp;"ORTRANGE(""https://docs.google.com/spreadsheets/d/1vO9Sws6kMtrVtyvrAJptINXjK8TFBoX9xLYOVK_C8bQ/edit?usp=share_link"",""สุราษฎร์ธานี!J496"")"),1010)</f>
        <v>1010</v>
      </c>
      <c r="K496" s="37"/>
      <c r="L496" s="37"/>
      <c r="M496" s="37"/>
      <c r="N496" s="37"/>
      <c r="O496" s="37"/>
      <c r="P496" s="37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20.25" customHeight="1">
      <c r="A497" s="607"/>
      <c r="B497" s="608"/>
      <c r="C497" s="608"/>
      <c r="D497" s="608"/>
      <c r="E497" s="617" t="s">
        <v>62</v>
      </c>
      <c r="F497" s="618"/>
      <c r="G497" s="174"/>
      <c r="H497" s="188"/>
      <c r="I497" s="36"/>
      <c r="J497" s="36"/>
      <c r="K497" s="37"/>
      <c r="L497" s="37"/>
      <c r="M497" s="37"/>
      <c r="N497" s="37"/>
      <c r="O497" s="37"/>
      <c r="P497" s="37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20.25" customHeight="1">
      <c r="A498" s="607"/>
      <c r="B498" s="608"/>
      <c r="C498" s="608"/>
      <c r="D498" s="608"/>
      <c r="E498" s="618"/>
      <c r="F498" s="625" t="s">
        <v>217</v>
      </c>
      <c r="G498" s="174"/>
      <c r="H498" s="35" t="s">
        <v>46</v>
      </c>
      <c r="I498" s="36">
        <f ca="1">IFERROR(__xludf.DUMMYFUNCTION("IMPORTRANGE(""https://docs.google.com/spreadsheets/d/1kC41EOXpGBFOW658Fs3oD8beYlym0-zO54WY-2Qnp9I/edit?usp=share_link"",""กระบี่!I498"")
+IMPORTRANGE(""https://docs.google.com/spreadsheets/d/1FbzMZY_f3MDiEuK7RpCQKrilJ_kpX0Wm7QBZ1L7EjIU/edit?usp=share_link"&amp;""",""ชุมพร!I498"")+IMPORTRANGE(""https://docs.google.com/spreadsheets/d/1v5sN-00LrXuhBxw4dkh2GrG_z4l5oAqOdJRBCsUyMaM/edit?usp=share_link"",""ตรัง!I498"")+IMPORTRANGE(""https://docs.google.com/spreadsheets/d/1T5rRTzFc79aSIvqnzkZNvwPstq829QYz_xALlO1Z0s8/edi"&amp;"t?usp=share_link"",""นครศรีธรรมราช!I498"")+IMPORTRANGE(""https://docs.google.com/spreadsheets/d/1BeghqumK0IvCmRd2QOy6_afsZq7ZtAGrSnVJy2u7WmY/edit?usp=share_link"",""นราธิวาส!I498"")+IMPORTRANGE(""https://docs.google.com/spreadsheets/d/1IwnW3-jjRf74MCLW-6P"&amp;"iFwMUffRQXZwZA7YM609NmRc/edit?usp=share_link"",""ปัตตานี!I498"")+IMPORTRANGE(""https://docs.google.com/spreadsheets/d/1vl4QWbWdFruual5o_wdo6ZSqXZ_it806oja4CctTLKs/edit?usp=share_link"",""พังงา!I498"")+IMPORTRANGE(""https://docs.google.com/spreadsheets/d/1"&amp;"b6QssHQp2FoAPSMKHOy273KNzAomaIKhtdlvuZ_zDNE/edit?usp=share_link"",""พัทลุง!I498"")+IMPORTRANGE(""https://docs.google.com/spreadsheets/d/1o7UZe4_OqlqtLDHrj01Z2YFRSZDf1DMy1n3XViHaxRc/edit?usp=share_link"",""ภูเก็ต!I498"")+IMPORTRANGE(""https://docs.google.c"&amp;"om/spreadsheets/d/1ctPm1vUzcUCPuOj9-eoHUD85PqINFqUB0TjdSWmR5-c/edit?usp=share_link"",""ยะลา!I498"")+IMPORTRANGE(""https://docs.google.com/spreadsheets/d/1YiDIE7Klmt8osgdapRqYWNr7iPGFSsiJqq46S7PYRE0/edit?usp=share_link"",""ระนอง!I498"")+IMPORTRANGE(""https"&amp;"://docs.google.com/spreadsheets/d/16o_4B-V7AWw_6E93bSpXj_XxVv1oVQctk-B6z1dNEWU/edit?usp=share_link"",""สงขลา!I498"")+IMPORTRANGE(""https://docs.google.com/spreadsheets/d/16cywr71Fj4fA5OGRHsZh30ZG2gwJhMAQv69oVBzYHv0/edit?usp=share_link"",""สตูล!I498"")+IMP"&amp;"ORTRANGE(""https://docs.google.com/spreadsheets/d/1vO9Sws6kMtrVtyvrAJptINXjK8TFBoX9xLYOVK_C8bQ/edit?usp=share_link"",""สุราษฎร์ธานี!I498"")"),480)</f>
        <v>480</v>
      </c>
      <c r="J498" s="182">
        <f ca="1">IFERROR(__xludf.DUMMYFUNCTION("IMPORTRANGE(""https://docs.google.com/spreadsheets/d/1kC41EOXpGBFOW658Fs3oD8beYlym0-zO54WY-2Qnp9I/edit?usp=share_link"",""กระบี่!J498"")
+IMPORTRANGE(""https://docs.google.com/spreadsheets/d/1FbzMZY_f3MDiEuK7RpCQKrilJ_kpX0Wm7QBZ1L7EjIU/edit?usp=share_link"&amp;""",""ชุมพร!J498"")+IMPORTRANGE(""https://docs.google.com/spreadsheets/d/1v5sN-00LrXuhBxw4dkh2GrG_z4l5oAqOdJRBCsUyMaM/edit?usp=share_link"",""ตรัง!J498"")+IMPORTRANGE(""https://docs.google.com/spreadsheets/d/1T5rRTzFc79aSIvqnzkZNvwPstq829QYz_xALlO1Z0s8/edi"&amp;"t?usp=share_link"",""นครศรีธรรมราช!J498"")+IMPORTRANGE(""https://docs.google.com/spreadsheets/d/1BeghqumK0IvCmRd2QOy6_afsZq7ZtAGrSnVJy2u7WmY/edit?usp=share_link"",""นราธิวาส!J498"")+IMPORTRANGE(""https://docs.google.com/spreadsheets/d/1IwnW3-jjRf74MCLW-6P"&amp;"iFwMUffRQXZwZA7YM609NmRc/edit?usp=share_link"",""ปัตตานี!J498"")+IMPORTRANGE(""https://docs.google.com/spreadsheets/d/1vl4QWbWdFruual5o_wdo6ZSqXZ_it806oja4CctTLKs/edit?usp=share_link"",""พังงา!J498"")+IMPORTRANGE(""https://docs.google.com/spreadsheets/d/1"&amp;"b6QssHQp2FoAPSMKHOy273KNzAomaIKhtdlvuZ_zDNE/edit?usp=share_link"",""พัทลุง!J498"")+IMPORTRANGE(""https://docs.google.com/spreadsheets/d/1o7UZe4_OqlqtLDHrj01Z2YFRSZDf1DMy1n3XViHaxRc/edit?usp=share_link"",""ภูเก็ต!J498"")+IMPORTRANGE(""https://docs.google.c"&amp;"om/spreadsheets/d/1ctPm1vUzcUCPuOj9-eoHUD85PqINFqUB0TjdSWmR5-c/edit?usp=share_link"",""ยะลา!J498"")+IMPORTRANGE(""https://docs.google.com/spreadsheets/d/1YiDIE7Klmt8osgdapRqYWNr7iPGFSsiJqq46S7PYRE0/edit?usp=share_link"",""ระนอง!J498"")+IMPORTRANGE(""https"&amp;"://docs.google.com/spreadsheets/d/16o_4B-V7AWw_6E93bSpXj_XxVv1oVQctk-B6z1dNEWU/edit?usp=share_link"",""สงขลา!J498"")+IMPORTRANGE(""https://docs.google.com/spreadsheets/d/16cywr71Fj4fA5OGRHsZh30ZG2gwJhMAQv69oVBzYHv0/edit?usp=share_link"",""สตูล!J498"")+IMP"&amp;"ORTRANGE(""https://docs.google.com/spreadsheets/d/1vO9Sws6kMtrVtyvrAJptINXjK8TFBoX9xLYOVK_C8bQ/edit?usp=share_link"",""สุราษฎร์ธานี!J498"")"),480)</f>
        <v>480</v>
      </c>
      <c r="K498" s="37">
        <f ca="1">IF(I498&gt;0,J498*100/I498,0)</f>
        <v>100</v>
      </c>
      <c r="L498" s="37"/>
      <c r="M498" s="37"/>
      <c r="N498" s="37"/>
      <c r="O498" s="37"/>
      <c r="P498" s="37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20.25" customHeight="1">
      <c r="A499" s="607"/>
      <c r="B499" s="608"/>
      <c r="C499" s="608"/>
      <c r="D499" s="608"/>
      <c r="E499" s="618"/>
      <c r="F499" s="625" t="s">
        <v>218</v>
      </c>
      <c r="G499" s="174"/>
      <c r="H499" s="35" t="s">
        <v>46</v>
      </c>
      <c r="I499" s="36"/>
      <c r="J499" s="182">
        <f ca="1">IFERROR(__xludf.DUMMYFUNCTION("IMPORTRANGE(""https://docs.google.com/spreadsheets/d/1kC41EOXpGBFOW658Fs3oD8beYlym0-zO54WY-2Qnp9I/edit?usp=share_link"",""กระบี่!J499"")
+IMPORTRANGE(""https://docs.google.com/spreadsheets/d/1FbzMZY_f3MDiEuK7RpCQKrilJ_kpX0Wm7QBZ1L7EjIU/edit?usp=share_link"&amp;""",""ชุมพร!J499"")+IMPORTRANGE(""https://docs.google.com/spreadsheets/d/1v5sN-00LrXuhBxw4dkh2GrG_z4l5oAqOdJRBCsUyMaM/edit?usp=share_link"",""ตรัง!J499"")+IMPORTRANGE(""https://docs.google.com/spreadsheets/d/1T5rRTzFc79aSIvqnzkZNvwPstq829QYz_xALlO1Z0s8/edi"&amp;"t?usp=share_link"",""นครศรีธรรมราช!J499"")+IMPORTRANGE(""https://docs.google.com/spreadsheets/d/1BeghqumK0IvCmRd2QOy6_afsZq7ZtAGrSnVJy2u7WmY/edit?usp=share_link"",""นราธิวาส!J499"")+IMPORTRANGE(""https://docs.google.com/spreadsheets/d/1IwnW3-jjRf74MCLW-6P"&amp;"iFwMUffRQXZwZA7YM609NmRc/edit?usp=share_link"",""ปัตตานี!J499"")+IMPORTRANGE(""https://docs.google.com/spreadsheets/d/1vl4QWbWdFruual5o_wdo6ZSqXZ_it806oja4CctTLKs/edit?usp=share_link"",""พังงา!J499"")+IMPORTRANGE(""https://docs.google.com/spreadsheets/d/1"&amp;"b6QssHQp2FoAPSMKHOy273KNzAomaIKhtdlvuZ_zDNE/edit?usp=share_link"",""พัทลุง!J499"")+IMPORTRANGE(""https://docs.google.com/spreadsheets/d/1o7UZe4_OqlqtLDHrj01Z2YFRSZDf1DMy1n3XViHaxRc/edit?usp=share_link"",""ภูเก็ต!J499"")+IMPORTRANGE(""https://docs.google.c"&amp;"om/spreadsheets/d/1ctPm1vUzcUCPuOj9-eoHUD85PqINFqUB0TjdSWmR5-c/edit?usp=share_link"",""ยะลา!J499"")+IMPORTRANGE(""https://docs.google.com/spreadsheets/d/1YiDIE7Klmt8osgdapRqYWNr7iPGFSsiJqq46S7PYRE0/edit?usp=share_link"",""ระนอง!J499"")+IMPORTRANGE(""https"&amp;"://docs.google.com/spreadsheets/d/16o_4B-V7AWw_6E93bSpXj_XxVv1oVQctk-B6z1dNEWU/edit?usp=share_link"",""สงขลา!J499"")+IMPORTRANGE(""https://docs.google.com/spreadsheets/d/16cywr71Fj4fA5OGRHsZh30ZG2gwJhMAQv69oVBzYHv0/edit?usp=share_link"",""สตูล!J499"")+IMP"&amp;"ORTRANGE(""https://docs.google.com/spreadsheets/d/1vO9Sws6kMtrVtyvrAJptINXjK8TFBoX9xLYOVK_C8bQ/edit?usp=share_link"",""สุราษฎร์ธานี!J499"")"),110)</f>
        <v>110</v>
      </c>
      <c r="K499" s="37"/>
      <c r="L499" s="37"/>
      <c r="M499" s="37"/>
      <c r="N499" s="37"/>
      <c r="O499" s="37"/>
      <c r="P499" s="37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20.25" hidden="1" customHeight="1">
      <c r="A500" s="626">
        <v>4</v>
      </c>
      <c r="B500" s="627" t="s">
        <v>219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47">J516</f>
        <v>0</v>
      </c>
      <c r="K500" s="633">
        <f t="shared" ref="K500:K501" si="248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20.25" hidden="1" customHeight="1">
      <c r="A501" s="635"/>
      <c r="B501" s="636" t="s">
        <v>220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47"/>
        <v>0</v>
      </c>
      <c r="K501" s="642">
        <f t="shared" si="248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20.25" hidden="1" customHeight="1">
      <c r="A502" s="598"/>
      <c r="B502" s="599"/>
      <c r="C502" s="599" t="s">
        <v>16</v>
      </c>
      <c r="D502" s="892" t="s">
        <v>17</v>
      </c>
      <c r="E502" s="888"/>
      <c r="F502" s="888"/>
      <c r="G502" s="602"/>
      <c r="H502" s="645" t="s">
        <v>12</v>
      </c>
      <c r="I502" s="43"/>
      <c r="J502" s="43"/>
      <c r="K502" s="44"/>
      <c r="L502" s="646">
        <f t="shared" ref="L502:N502" si="249">L503+L504</f>
        <v>0</v>
      </c>
      <c r="M502" s="646">
        <f t="shared" si="249"/>
        <v>0</v>
      </c>
      <c r="N502" s="646">
        <f t="shared" si="249"/>
        <v>0</v>
      </c>
      <c r="O502" s="646">
        <f t="shared" ref="O502:O507" si="250">IF(L502&gt;0,N502*100/L502,0)</f>
        <v>0</v>
      </c>
      <c r="P502" s="646">
        <f t="shared" ref="P502:P507" si="251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20.25" hidden="1" customHeight="1">
      <c r="A503" s="598"/>
      <c r="B503" s="599"/>
      <c r="C503" s="599"/>
      <c r="D503" s="600"/>
      <c r="E503" s="601" t="s">
        <v>184</v>
      </c>
      <c r="F503" s="599"/>
      <c r="G503" s="602"/>
      <c r="H503" s="164" t="s">
        <v>12</v>
      </c>
      <c r="I503" s="43"/>
      <c r="J503" s="43"/>
      <c r="K503" s="44"/>
      <c r="L503" s="44">
        <f t="shared" ref="L503:N503" si="252">L506+L513</f>
        <v>0</v>
      </c>
      <c r="M503" s="44">
        <f t="shared" si="252"/>
        <v>0</v>
      </c>
      <c r="N503" s="44">
        <f t="shared" si="252"/>
        <v>0</v>
      </c>
      <c r="O503" s="44">
        <f t="shared" si="250"/>
        <v>0</v>
      </c>
      <c r="P503" s="44">
        <f t="shared" si="251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20.25" hidden="1" customHeight="1">
      <c r="A504" s="598"/>
      <c r="B504" s="604"/>
      <c r="C504" s="599"/>
      <c r="D504" s="600"/>
      <c r="E504" s="601" t="s">
        <v>185</v>
      </c>
      <c r="F504" s="599"/>
      <c r="G504" s="602"/>
      <c r="H504" s="164" t="s">
        <v>12</v>
      </c>
      <c r="I504" s="43"/>
      <c r="J504" s="43"/>
      <c r="K504" s="44"/>
      <c r="L504" s="44">
        <f t="shared" ref="L504:N504" si="253">L507+L514</f>
        <v>0</v>
      </c>
      <c r="M504" s="44">
        <f t="shared" si="253"/>
        <v>0</v>
      </c>
      <c r="N504" s="44">
        <f t="shared" si="253"/>
        <v>0</v>
      </c>
      <c r="O504" s="44">
        <f t="shared" si="250"/>
        <v>0</v>
      </c>
      <c r="P504" s="44">
        <f t="shared" si="251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20.25" hidden="1" customHeight="1">
      <c r="A505" s="598"/>
      <c r="B505" s="604"/>
      <c r="C505" s="599"/>
      <c r="D505" s="647" t="s">
        <v>20</v>
      </c>
      <c r="E505" s="599"/>
      <c r="F505" s="599"/>
      <c r="G505" s="602"/>
      <c r="H505" s="164" t="s">
        <v>12</v>
      </c>
      <c r="I505" s="165"/>
      <c r="J505" s="165"/>
      <c r="K505" s="166"/>
      <c r="L505" s="44">
        <f t="shared" ref="L505:N505" si="254">L506+L507</f>
        <v>0</v>
      </c>
      <c r="M505" s="44">
        <f t="shared" si="254"/>
        <v>0</v>
      </c>
      <c r="N505" s="44">
        <f t="shared" si="254"/>
        <v>0</v>
      </c>
      <c r="O505" s="44">
        <f t="shared" si="250"/>
        <v>0</v>
      </c>
      <c r="P505" s="44">
        <f t="shared" si="251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20.25" hidden="1" customHeight="1">
      <c r="A506" s="598"/>
      <c r="B506" s="604"/>
      <c r="C506" s="599"/>
      <c r="D506" s="600"/>
      <c r="E506" s="601" t="s">
        <v>184</v>
      </c>
      <c r="F506" s="599"/>
      <c r="G506" s="602"/>
      <c r="H506" s="164" t="s">
        <v>12</v>
      </c>
      <c r="I506" s="43"/>
      <c r="J506" s="43"/>
      <c r="K506" s="44"/>
      <c r="L506" s="92">
        <v>0</v>
      </c>
      <c r="M506" s="92">
        <v>0</v>
      </c>
      <c r="N506" s="92">
        <v>0</v>
      </c>
      <c r="O506" s="44">
        <f t="shared" si="250"/>
        <v>0</v>
      </c>
      <c r="P506" s="44">
        <f t="shared" si="251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20.25" hidden="1" customHeight="1">
      <c r="A507" s="598"/>
      <c r="B507" s="604"/>
      <c r="C507" s="599"/>
      <c r="D507" s="600"/>
      <c r="E507" s="601" t="s">
        <v>185</v>
      </c>
      <c r="F507" s="599"/>
      <c r="G507" s="602"/>
      <c r="H507" s="164" t="s">
        <v>12</v>
      </c>
      <c r="I507" s="43"/>
      <c r="J507" s="43"/>
      <c r="K507" s="44"/>
      <c r="L507" s="92">
        <v>0</v>
      </c>
      <c r="M507" s="92">
        <v>0</v>
      </c>
      <c r="N507" s="44">
        <f>N508+N509+N510+N511</f>
        <v>0</v>
      </c>
      <c r="O507" s="44">
        <f t="shared" si="250"/>
        <v>0</v>
      </c>
      <c r="P507" s="44">
        <f t="shared" si="251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20.25" hidden="1" customHeight="1">
      <c r="A508" s="648"/>
      <c r="B508" s="604"/>
      <c r="C508" s="599"/>
      <c r="D508" s="599"/>
      <c r="E508" s="599"/>
      <c r="F508" s="601" t="s">
        <v>186</v>
      </c>
      <c r="G508" s="602"/>
      <c r="H508" s="164" t="s">
        <v>12</v>
      </c>
      <c r="I508" s="43"/>
      <c r="J508" s="43"/>
      <c r="K508" s="44"/>
      <c r="L508" s="44"/>
      <c r="M508" s="44"/>
      <c r="N508" s="92">
        <v>0</v>
      </c>
      <c r="O508" s="44"/>
      <c r="P508" s="44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20.25" hidden="1" customHeight="1">
      <c r="A509" s="648"/>
      <c r="B509" s="604"/>
      <c r="C509" s="599"/>
      <c r="D509" s="599"/>
      <c r="E509" s="599"/>
      <c r="F509" s="601" t="s">
        <v>187</v>
      </c>
      <c r="G509" s="602"/>
      <c r="H509" s="164" t="s">
        <v>12</v>
      </c>
      <c r="I509" s="43"/>
      <c r="J509" s="43"/>
      <c r="K509" s="44"/>
      <c r="L509" s="44"/>
      <c r="M509" s="44"/>
      <c r="N509" s="92">
        <v>0</v>
      </c>
      <c r="O509" s="44"/>
      <c r="P509" s="44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20.25" hidden="1" customHeight="1">
      <c r="A510" s="648"/>
      <c r="B510" s="604"/>
      <c r="C510" s="604"/>
      <c r="D510" s="604"/>
      <c r="E510" s="599"/>
      <c r="F510" s="601" t="s">
        <v>188</v>
      </c>
      <c r="G510" s="602"/>
      <c r="H510" s="164" t="s">
        <v>12</v>
      </c>
      <c r="I510" s="43"/>
      <c r="J510" s="43"/>
      <c r="K510" s="44"/>
      <c r="L510" s="44"/>
      <c r="M510" s="44"/>
      <c r="N510" s="92">
        <v>0</v>
      </c>
      <c r="O510" s="44"/>
      <c r="P510" s="44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20.25" hidden="1" customHeight="1">
      <c r="A511" s="648"/>
      <c r="B511" s="604"/>
      <c r="C511" s="604"/>
      <c r="D511" s="604"/>
      <c r="E511" s="599"/>
      <c r="F511" s="601" t="s">
        <v>189</v>
      </c>
      <c r="G511" s="602"/>
      <c r="H511" s="164" t="s">
        <v>12</v>
      </c>
      <c r="I511" s="43"/>
      <c r="J511" s="43"/>
      <c r="K511" s="44"/>
      <c r="L511" s="44"/>
      <c r="M511" s="44"/>
      <c r="N511" s="92">
        <v>0</v>
      </c>
      <c r="O511" s="44"/>
      <c r="P511" s="44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20.25" hidden="1" customHeight="1">
      <c r="A512" s="598"/>
      <c r="B512" s="604"/>
      <c r="C512" s="604"/>
      <c r="D512" s="647" t="s">
        <v>21</v>
      </c>
      <c r="E512" s="604"/>
      <c r="F512" s="599"/>
      <c r="G512" s="602"/>
      <c r="H512" s="168" t="s">
        <v>12</v>
      </c>
      <c r="I512" s="165"/>
      <c r="J512" s="165"/>
      <c r="K512" s="166"/>
      <c r="L512" s="44">
        <f t="shared" ref="L512:N512" si="255">L513+L514</f>
        <v>0</v>
      </c>
      <c r="M512" s="44">
        <f t="shared" si="255"/>
        <v>0</v>
      </c>
      <c r="N512" s="44">
        <f t="shared" si="255"/>
        <v>0</v>
      </c>
      <c r="O512" s="44">
        <f t="shared" ref="O512:O514" si="256">IF(L512&gt;0,N512*100/L512,0)</f>
        <v>0</v>
      </c>
      <c r="P512" s="44">
        <f t="shared" ref="P512:P514" si="257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20.25" hidden="1" customHeight="1">
      <c r="A513" s="598"/>
      <c r="B513" s="604"/>
      <c r="C513" s="604"/>
      <c r="D513" s="604"/>
      <c r="E513" s="606" t="s">
        <v>18</v>
      </c>
      <c r="F513" s="599"/>
      <c r="G513" s="602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44">
        <f t="shared" si="256"/>
        <v>0</v>
      </c>
      <c r="P513" s="44">
        <f t="shared" si="257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20.25" hidden="1" customHeight="1">
      <c r="A514" s="598"/>
      <c r="B514" s="604"/>
      <c r="C514" s="604"/>
      <c r="D514" s="599"/>
      <c r="E514" s="606" t="s">
        <v>19</v>
      </c>
      <c r="F514" s="599"/>
      <c r="G514" s="602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44">
        <f t="shared" si="256"/>
        <v>0</v>
      </c>
      <c r="P514" s="44">
        <f t="shared" si="257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20.25" hidden="1" customHeight="1">
      <c r="A515" s="613"/>
      <c r="B515" s="614"/>
      <c r="C515" s="604" t="s">
        <v>16</v>
      </c>
      <c r="D515" s="649" t="s">
        <v>38</v>
      </c>
      <c r="E515" s="650"/>
      <c r="F515" s="650"/>
      <c r="G515" s="651"/>
      <c r="H515" s="365"/>
      <c r="I515" s="165"/>
      <c r="J515" s="165"/>
      <c r="K515" s="166"/>
      <c r="L515" s="166"/>
      <c r="M515" s="166"/>
      <c r="N515" s="166"/>
      <c r="O515" s="166"/>
      <c r="P515" s="166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20.25" hidden="1" customHeight="1">
      <c r="A516" s="613"/>
      <c r="B516" s="614"/>
      <c r="C516" s="614"/>
      <c r="D516" s="615" t="s">
        <v>221</v>
      </c>
      <c r="E516" s="600"/>
      <c r="F516" s="600"/>
      <c r="G516" s="365"/>
      <c r="H516" s="652" t="s">
        <v>109</v>
      </c>
      <c r="I516" s="43"/>
      <c r="J516" s="616">
        <v>0</v>
      </c>
      <c r="K516" s="166">
        <f t="shared" ref="K516:K517" si="258">IF(I516&gt;0,J516*100/I516,0)</f>
        <v>0</v>
      </c>
      <c r="L516" s="166"/>
      <c r="M516" s="166"/>
      <c r="N516" s="166"/>
      <c r="O516" s="166"/>
      <c r="P516" s="166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20.25" hidden="1" customHeight="1">
      <c r="A517" s="613"/>
      <c r="B517" s="614"/>
      <c r="C517" s="614"/>
      <c r="D517" s="615" t="s">
        <v>222</v>
      </c>
      <c r="E517" s="600"/>
      <c r="F517" s="600"/>
      <c r="G517" s="365"/>
      <c r="H517" s="653" t="s">
        <v>35</v>
      </c>
      <c r="I517" s="654"/>
      <c r="J517" s="654">
        <f>J518+J519</f>
        <v>0</v>
      </c>
      <c r="K517" s="655">
        <f t="shared" si="258"/>
        <v>0</v>
      </c>
      <c r="L517" s="166"/>
      <c r="M517" s="166"/>
      <c r="N517" s="166"/>
      <c r="O517" s="166"/>
      <c r="P517" s="166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20.25" hidden="1" customHeight="1">
      <c r="A518" s="613"/>
      <c r="B518" s="614"/>
      <c r="C518" s="614"/>
      <c r="D518" s="614"/>
      <c r="E518" s="615" t="s">
        <v>223</v>
      </c>
      <c r="F518" s="600"/>
      <c r="G518" s="365"/>
      <c r="H518" s="369" t="s">
        <v>35</v>
      </c>
      <c r="I518" s="43"/>
      <c r="J518" s="43"/>
      <c r="K518" s="166"/>
      <c r="L518" s="166"/>
      <c r="M518" s="166"/>
      <c r="N518" s="166"/>
      <c r="O518" s="166"/>
      <c r="P518" s="166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20.25" hidden="1" customHeight="1">
      <c r="A519" s="613"/>
      <c r="B519" s="614"/>
      <c r="C519" s="614"/>
      <c r="D519" s="614"/>
      <c r="E519" s="615" t="s">
        <v>224</v>
      </c>
      <c r="F519" s="600"/>
      <c r="G519" s="365"/>
      <c r="H519" s="652" t="s">
        <v>35</v>
      </c>
      <c r="I519" s="43"/>
      <c r="J519" s="43"/>
      <c r="K519" s="166"/>
      <c r="L519" s="166"/>
      <c r="M519" s="166"/>
      <c r="N519" s="166"/>
      <c r="O519" s="166"/>
      <c r="P519" s="166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20.25" customHeight="1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20.25" customHeight="1">
      <c r="A521" s="663">
        <v>5</v>
      </c>
      <c r="B521" s="664" t="s">
        <v>225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20.25" customHeight="1">
      <c r="A522" s="670"/>
      <c r="B522" s="671" t="s">
        <v>226</v>
      </c>
      <c r="C522" s="672"/>
      <c r="D522" s="672"/>
      <c r="E522" s="672"/>
      <c r="F522" s="672"/>
      <c r="G522" s="673"/>
      <c r="H522" s="674" t="s">
        <v>35</v>
      </c>
      <c r="I522" s="675">
        <f t="shared" ref="I522:J522" ca="1" si="259">I537</f>
        <v>190</v>
      </c>
      <c r="J522" s="675">
        <f t="shared" ca="1" si="259"/>
        <v>190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20.25" customHeight="1">
      <c r="A523" s="596"/>
      <c r="B523" s="575"/>
      <c r="C523" s="575" t="s">
        <v>16</v>
      </c>
      <c r="D523" s="887" t="s">
        <v>17</v>
      </c>
      <c r="E523" s="888"/>
      <c r="F523" s="888"/>
      <c r="G523" s="188"/>
      <c r="H523" s="597" t="s">
        <v>12</v>
      </c>
      <c r="I523" s="36"/>
      <c r="J523" s="36"/>
      <c r="K523" s="37"/>
      <c r="L523" s="194">
        <f t="shared" ref="L523:N523" ca="1" si="260">L524+L525</f>
        <v>1674740</v>
      </c>
      <c r="M523" s="194">
        <f t="shared" ca="1" si="260"/>
        <v>1807360</v>
      </c>
      <c r="N523" s="194">
        <f t="shared" ca="1" si="260"/>
        <v>1807360</v>
      </c>
      <c r="O523" s="194">
        <f t="shared" ref="O523:O528" ca="1" si="261">IF(L523&gt;0,N523*100/L523,0)</f>
        <v>107.91884113354909</v>
      </c>
      <c r="P523" s="194">
        <f t="shared" ref="P523:P528" ca="1" si="262">IF(M523&gt;0,N523*100/M523,0)</f>
        <v>100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20.25" hidden="1" customHeight="1">
      <c r="A524" s="598"/>
      <c r="B524" s="599"/>
      <c r="C524" s="599"/>
      <c r="D524" s="600"/>
      <c r="E524" s="601" t="s">
        <v>184</v>
      </c>
      <c r="F524" s="599"/>
      <c r="G524" s="602"/>
      <c r="H524" s="164" t="s">
        <v>12</v>
      </c>
      <c r="I524" s="43"/>
      <c r="J524" s="43"/>
      <c r="K524" s="44"/>
      <c r="L524" s="44">
        <f t="shared" ref="L524:N524" si="263">L527+L534</f>
        <v>0</v>
      </c>
      <c r="M524" s="44">
        <f t="shared" si="263"/>
        <v>0</v>
      </c>
      <c r="N524" s="44">
        <f t="shared" si="263"/>
        <v>0</v>
      </c>
      <c r="O524" s="44">
        <f t="shared" si="261"/>
        <v>0</v>
      </c>
      <c r="P524" s="44">
        <f t="shared" si="262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20.25" hidden="1" customHeight="1">
      <c r="A525" s="598"/>
      <c r="B525" s="604"/>
      <c r="C525" s="599"/>
      <c r="D525" s="600"/>
      <c r="E525" s="601" t="s">
        <v>185</v>
      </c>
      <c r="F525" s="599"/>
      <c r="G525" s="602"/>
      <c r="H525" s="164" t="s">
        <v>12</v>
      </c>
      <c r="I525" s="43"/>
      <c r="J525" s="43"/>
      <c r="K525" s="44"/>
      <c r="L525" s="44">
        <f t="shared" ref="L525:N525" ca="1" si="264">L528+L535</f>
        <v>1674740</v>
      </c>
      <c r="M525" s="44">
        <f t="shared" ca="1" si="264"/>
        <v>1807360</v>
      </c>
      <c r="N525" s="44">
        <f t="shared" ca="1" si="264"/>
        <v>1807360</v>
      </c>
      <c r="O525" s="44">
        <f t="shared" ca="1" si="261"/>
        <v>107.91884113354909</v>
      </c>
      <c r="P525" s="44">
        <f t="shared" ca="1" si="262"/>
        <v>100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20.25" customHeight="1">
      <c r="A526" s="596"/>
      <c r="B526" s="574"/>
      <c r="C526" s="575"/>
      <c r="D526" s="605" t="s">
        <v>20</v>
      </c>
      <c r="E526" s="575"/>
      <c r="F526" s="575"/>
      <c r="G526" s="188"/>
      <c r="H526" s="160" t="s">
        <v>12</v>
      </c>
      <c r="I526" s="161"/>
      <c r="J526" s="161"/>
      <c r="K526" s="162"/>
      <c r="L526" s="37">
        <f t="shared" ref="L526:N526" ca="1" si="265">L527+L528</f>
        <v>1674740</v>
      </c>
      <c r="M526" s="37">
        <f t="shared" ca="1" si="265"/>
        <v>1807360</v>
      </c>
      <c r="N526" s="37">
        <f t="shared" ca="1" si="265"/>
        <v>1807360</v>
      </c>
      <c r="O526" s="37">
        <f t="shared" ca="1" si="261"/>
        <v>107.91884113354909</v>
      </c>
      <c r="P526" s="37">
        <f t="shared" ca="1" si="262"/>
        <v>100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20.25" hidden="1" customHeight="1">
      <c r="A527" s="598"/>
      <c r="B527" s="604"/>
      <c r="C527" s="599"/>
      <c r="D527" s="600"/>
      <c r="E527" s="601" t="s">
        <v>184</v>
      </c>
      <c r="F527" s="599"/>
      <c r="G527" s="602"/>
      <c r="H527" s="164" t="s">
        <v>12</v>
      </c>
      <c r="I527" s="43"/>
      <c r="J527" s="43"/>
      <c r="K527" s="44"/>
      <c r="L527" s="92">
        <v>0</v>
      </c>
      <c r="M527" s="92">
        <v>0</v>
      </c>
      <c r="N527" s="92">
        <v>0</v>
      </c>
      <c r="O527" s="44">
        <f t="shared" si="261"/>
        <v>0</v>
      </c>
      <c r="P527" s="44">
        <f t="shared" si="262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20.25" hidden="1" customHeight="1">
      <c r="A528" s="598"/>
      <c r="B528" s="604"/>
      <c r="C528" s="599"/>
      <c r="D528" s="600"/>
      <c r="E528" s="601" t="s">
        <v>185</v>
      </c>
      <c r="F528" s="599"/>
      <c r="G528" s="602"/>
      <c r="H528" s="164" t="s">
        <v>12</v>
      </c>
      <c r="I528" s="43"/>
      <c r="J528" s="43"/>
      <c r="K528" s="44"/>
      <c r="L528" s="44">
        <f ca="1">IFERROR(__xludf.DUMMYFUNCTION("IMPORTRANGE(""https://docs.google.com/spreadsheets/d/1kC41EOXpGBFOW658Fs3oD8beYlym0-zO54WY-2Qnp9I/edit?usp=share_link"",""กระบี่!L528"")
+IMPORTRANGE(""https://docs.google.com/spreadsheets/d/1FbzMZY_f3MDiEuK7RpCQKrilJ_kpX0Wm7QBZ1L7EjIU/edit?usp=share_link"&amp;""",""ชุมพร!L528"")+IMPORTRANGE(""https://docs.google.com/spreadsheets/d/1v5sN-00LrXuhBxw4dkh2GrG_z4l5oAqOdJRBCsUyMaM/edit?usp=share_link"",""ตรัง!L528"")+IMPORTRANGE(""https://docs.google.com/spreadsheets/d/1T5rRTzFc79aSIvqnzkZNvwPstq829QYz_xALlO1Z0s8/edi"&amp;"t?usp=share_link"",""นครศรีธรรมราช!L528"")+IMPORTRANGE(""https://docs.google.com/spreadsheets/d/1BeghqumK0IvCmRd2QOy6_afsZq7ZtAGrSnVJy2u7WmY/edit?usp=share_link"",""นราธิวาส!L528"")+IMPORTRANGE(""https://docs.google.com/spreadsheets/d/1IwnW3-jjRf74MCLW-6P"&amp;"iFwMUffRQXZwZA7YM609NmRc/edit?usp=share_link"",""ปัตตานี!L528"")+IMPORTRANGE(""https://docs.google.com/spreadsheets/d/1vl4QWbWdFruual5o_wdo6ZSqXZ_it806oja4CctTLKs/edit?usp=share_link"",""พังงา!L528"")+IMPORTRANGE(""https://docs.google.com/spreadsheets/d/1"&amp;"b6QssHQp2FoAPSMKHOy273KNzAomaIKhtdlvuZ_zDNE/edit?usp=share_link"",""พัทลุง!L528"")+IMPORTRANGE(""https://docs.google.com/spreadsheets/d/1o7UZe4_OqlqtLDHrj01Z2YFRSZDf1DMy1n3XViHaxRc/edit?usp=share_link"",""ภูเก็ต!L528"")+IMPORTRANGE(""https://docs.google.c"&amp;"om/spreadsheets/d/1ctPm1vUzcUCPuOj9-eoHUD85PqINFqUB0TjdSWmR5-c/edit?usp=share_link"",""ยะลา!L528"")+IMPORTRANGE(""https://docs.google.com/spreadsheets/d/1YiDIE7Klmt8osgdapRqYWNr7iPGFSsiJqq46S7PYRE0/edit?usp=share_link"",""ระนอง!L528"")+IMPORTRANGE(""https"&amp;"://docs.google.com/spreadsheets/d/16o_4B-V7AWw_6E93bSpXj_XxVv1oVQctk-B6z1dNEWU/edit?usp=share_link"",""สงขลา!L528"")+IMPORTRANGE(""https://docs.google.com/spreadsheets/d/16cywr71Fj4fA5OGRHsZh30ZG2gwJhMAQv69oVBzYHv0/edit?usp=share_link"",""สตูล!L528"")+IMP"&amp;"ORTRANGE(""https://docs.google.com/spreadsheets/d/1vO9Sws6kMtrVtyvrAJptINXjK8TFBoX9xLYOVK_C8bQ/edit?usp=share_link"",""สุราษฎร์ธานี!L528"")"),1674740)</f>
        <v>1674740</v>
      </c>
      <c r="M528" s="92">
        <f ca="1">N528</f>
        <v>1807360</v>
      </c>
      <c r="N528" s="44">
        <f ca="1">N529+N530+N531+N532</f>
        <v>1807360</v>
      </c>
      <c r="O528" s="44">
        <f t="shared" ca="1" si="261"/>
        <v>107.91884113354909</v>
      </c>
      <c r="P528" s="44">
        <f t="shared" ca="1" si="262"/>
        <v>100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20.25" customHeight="1">
      <c r="A529" s="573"/>
      <c r="B529" s="574"/>
      <c r="C529" s="575"/>
      <c r="D529" s="575"/>
      <c r="E529" s="575"/>
      <c r="F529" s="576" t="s">
        <v>186</v>
      </c>
      <c r="G529" s="188"/>
      <c r="H529" s="160" t="s">
        <v>12</v>
      </c>
      <c r="I529" s="36"/>
      <c r="J529" s="36"/>
      <c r="K529" s="37"/>
      <c r="L529" s="37"/>
      <c r="M529" s="37"/>
      <c r="N529" s="282">
        <f ca="1">IFERROR(__xludf.DUMMYFUNCTION("IMPORTRANGE(""https://docs.google.com/spreadsheets/d/1kC41EOXpGBFOW658Fs3oD8beYlym0-zO54WY-2Qnp9I/edit?usp=share_link"",""กระบี่!N529"")
+IMPORTRANGE(""https://docs.google.com/spreadsheets/d/1FbzMZY_f3MDiEuK7RpCQKrilJ_kpX0Wm7QBZ1L7EjIU/edit?usp=share_link"&amp;""",""ชุมพร!N529"")+IMPORTRANGE(""https://docs.google.com/spreadsheets/d/1v5sN-00LrXuhBxw4dkh2GrG_z4l5oAqOdJRBCsUyMaM/edit?usp=share_link"",""ตรัง!N529"")+IMPORTRANGE(""https://docs.google.com/spreadsheets/d/1T5rRTzFc79aSIvqnzkZNvwPstq829QYz_xALlO1Z0s8/edi"&amp;"t?usp=share_link"",""นครศรีธรรมราช!N529"")+IMPORTRANGE(""https://docs.google.com/spreadsheets/d/1BeghqumK0IvCmRd2QOy6_afsZq7ZtAGrSnVJy2u7WmY/edit?usp=share_link"",""นราธิวาส!N529"")+IMPORTRANGE(""https://docs.google.com/spreadsheets/d/1IwnW3-jjRf74MCLW-6P"&amp;"iFwMUffRQXZwZA7YM609NmRc/edit?usp=share_link"",""ปัตตานี!N529"")+IMPORTRANGE(""https://docs.google.com/spreadsheets/d/1vl4QWbWdFruual5o_wdo6ZSqXZ_it806oja4CctTLKs/edit?usp=share_link"",""พังงา!N529"")+IMPORTRANGE(""https://docs.google.com/spreadsheets/d/1"&amp;"b6QssHQp2FoAPSMKHOy273KNzAomaIKhtdlvuZ_zDNE/edit?usp=share_link"",""พัทลุง!N529"")+IMPORTRANGE(""https://docs.google.com/spreadsheets/d/1o7UZe4_OqlqtLDHrj01Z2YFRSZDf1DMy1n3XViHaxRc/edit?usp=share_link"",""ภูเก็ต!N529"")+IMPORTRANGE(""https://docs.google.c"&amp;"om/spreadsheets/d/1ctPm1vUzcUCPuOj9-eoHUD85PqINFqUB0TjdSWmR5-c/edit?usp=share_link"",""ยะลา!N529"")+IMPORTRANGE(""https://docs.google.com/spreadsheets/d/1YiDIE7Klmt8osgdapRqYWNr7iPGFSsiJqq46S7PYRE0/edit?usp=share_link"",""ระนอง!N529"")+IMPORTRANGE(""https"&amp;"://docs.google.com/spreadsheets/d/16o_4B-V7AWw_6E93bSpXj_XxVv1oVQctk-B6z1dNEWU/edit?usp=share_link"",""สงขลา!N529"")+IMPORTRANGE(""https://docs.google.com/spreadsheets/d/16cywr71Fj4fA5OGRHsZh30ZG2gwJhMAQv69oVBzYHv0/edit?usp=share_link"",""สตูล!N529"")+IMP"&amp;"ORTRANGE(""https://docs.google.com/spreadsheets/d/1vO9Sws6kMtrVtyvrAJptINXjK8TFBoX9xLYOVK_C8bQ/edit?usp=share_link"",""สุราษฎร์ธานี!N529"")"),571640)</f>
        <v>571640</v>
      </c>
      <c r="O529" s="37"/>
      <c r="P529" s="37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20.25" customHeight="1">
      <c r="A530" s="573"/>
      <c r="B530" s="574"/>
      <c r="C530" s="575"/>
      <c r="D530" s="575"/>
      <c r="E530" s="575"/>
      <c r="F530" s="576" t="s">
        <v>187</v>
      </c>
      <c r="G530" s="188"/>
      <c r="H530" s="160" t="s">
        <v>12</v>
      </c>
      <c r="I530" s="36"/>
      <c r="J530" s="36"/>
      <c r="K530" s="37"/>
      <c r="L530" s="37"/>
      <c r="M530" s="37"/>
      <c r="N530" s="282">
        <f ca="1">IFERROR(__xludf.DUMMYFUNCTION("IMPORTRANGE(""https://docs.google.com/spreadsheets/d/1kC41EOXpGBFOW658Fs3oD8beYlym0-zO54WY-2Qnp9I/edit?usp=share_link"",""กระบี่!N530"")
+IMPORTRANGE(""https://docs.google.com/spreadsheets/d/1FbzMZY_f3MDiEuK7RpCQKrilJ_kpX0Wm7QBZ1L7EjIU/edit?usp=share_link"&amp;""",""ชุมพร!N530"")+IMPORTRANGE(""https://docs.google.com/spreadsheets/d/1v5sN-00LrXuhBxw4dkh2GrG_z4l5oAqOdJRBCsUyMaM/edit?usp=share_link"",""ตรัง!N530"")+IMPORTRANGE(""https://docs.google.com/spreadsheets/d/1T5rRTzFc79aSIvqnzkZNvwPstq829QYz_xALlO1Z0s8/edi"&amp;"t?usp=share_link"",""นครศรีธรรมราช!N530"")+IMPORTRANGE(""https://docs.google.com/spreadsheets/d/1BeghqumK0IvCmRd2QOy6_afsZq7ZtAGrSnVJy2u7WmY/edit?usp=share_link"",""นราธิวาส!N530"")+IMPORTRANGE(""https://docs.google.com/spreadsheets/d/1IwnW3-jjRf74MCLW-6P"&amp;"iFwMUffRQXZwZA7YM609NmRc/edit?usp=share_link"",""ปัตตานี!N530"")+IMPORTRANGE(""https://docs.google.com/spreadsheets/d/1vl4QWbWdFruual5o_wdo6ZSqXZ_it806oja4CctTLKs/edit?usp=share_link"",""พังงา!N530"")+IMPORTRANGE(""https://docs.google.com/spreadsheets/d/1"&amp;"b6QssHQp2FoAPSMKHOy273KNzAomaIKhtdlvuZ_zDNE/edit?usp=share_link"",""พัทลุง!N530"")+IMPORTRANGE(""https://docs.google.com/spreadsheets/d/1o7UZe4_OqlqtLDHrj01Z2YFRSZDf1DMy1n3XViHaxRc/edit?usp=share_link"",""ภูเก็ต!N530"")+IMPORTRANGE(""https://docs.google.c"&amp;"om/spreadsheets/d/1ctPm1vUzcUCPuOj9-eoHUD85PqINFqUB0TjdSWmR5-c/edit?usp=share_link"",""ยะลา!N530"")+IMPORTRANGE(""https://docs.google.com/spreadsheets/d/1YiDIE7Klmt8osgdapRqYWNr7iPGFSsiJqq46S7PYRE0/edit?usp=share_link"",""ระนอง!N530"")+IMPORTRANGE(""https"&amp;"://docs.google.com/spreadsheets/d/16o_4B-V7AWw_6E93bSpXj_XxVv1oVQctk-B6z1dNEWU/edit?usp=share_link"",""สงขลา!N530"")+IMPORTRANGE(""https://docs.google.com/spreadsheets/d/16cywr71Fj4fA5OGRHsZh30ZG2gwJhMAQv69oVBzYHv0/edit?usp=share_link"",""สตูล!N530"")+IMP"&amp;"ORTRANGE(""https://docs.google.com/spreadsheets/d/1vO9Sws6kMtrVtyvrAJptINXjK8TFBoX9xLYOVK_C8bQ/edit?usp=share_link"",""สุราษฎร์ธานี!N530"")"),950151)</f>
        <v>950151</v>
      </c>
      <c r="O530" s="37"/>
      <c r="P530" s="37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20.25" customHeight="1">
      <c r="A531" s="573"/>
      <c r="B531" s="574"/>
      <c r="C531" s="575"/>
      <c r="D531" s="575"/>
      <c r="E531" s="575"/>
      <c r="F531" s="576" t="s">
        <v>188</v>
      </c>
      <c r="G531" s="188"/>
      <c r="H531" s="160" t="s">
        <v>12</v>
      </c>
      <c r="I531" s="36"/>
      <c r="J531" s="36"/>
      <c r="K531" s="37"/>
      <c r="L531" s="37"/>
      <c r="M531" s="37"/>
      <c r="N531" s="282">
        <f ca="1">IFERROR(__xludf.DUMMYFUNCTION("IMPORTRANGE(""https://docs.google.com/spreadsheets/d/1kC41EOXpGBFOW658Fs3oD8beYlym0-zO54WY-2Qnp9I/edit?usp=share_link"",""กระบี่!N531"")
+IMPORTRANGE(""https://docs.google.com/spreadsheets/d/1FbzMZY_f3MDiEuK7RpCQKrilJ_kpX0Wm7QBZ1L7EjIU/edit?usp=share_link"&amp;""",""ชุมพร!N531"")+IMPORTRANGE(""https://docs.google.com/spreadsheets/d/1v5sN-00LrXuhBxw4dkh2GrG_z4l5oAqOdJRBCsUyMaM/edit?usp=share_link"",""ตรัง!N531"")+IMPORTRANGE(""https://docs.google.com/spreadsheets/d/1T5rRTzFc79aSIvqnzkZNvwPstq829QYz_xALlO1Z0s8/edi"&amp;"t?usp=share_link"",""นครศรีธรรมราช!N531"")+IMPORTRANGE(""https://docs.google.com/spreadsheets/d/1BeghqumK0IvCmRd2QOy6_afsZq7ZtAGrSnVJy2u7WmY/edit?usp=share_link"",""นราธิวาส!N531"")+IMPORTRANGE(""https://docs.google.com/spreadsheets/d/1IwnW3-jjRf74MCLW-6P"&amp;"iFwMUffRQXZwZA7YM609NmRc/edit?usp=share_link"",""ปัตตานี!N531"")+IMPORTRANGE(""https://docs.google.com/spreadsheets/d/1vl4QWbWdFruual5o_wdo6ZSqXZ_it806oja4CctTLKs/edit?usp=share_link"",""พังงา!N531"")+IMPORTRANGE(""https://docs.google.com/spreadsheets/d/1"&amp;"b6QssHQp2FoAPSMKHOy273KNzAomaIKhtdlvuZ_zDNE/edit?usp=share_link"",""พัทลุง!N531"")+IMPORTRANGE(""https://docs.google.com/spreadsheets/d/1o7UZe4_OqlqtLDHrj01Z2YFRSZDf1DMy1n3XViHaxRc/edit?usp=share_link"",""ภูเก็ต!N531"")+IMPORTRANGE(""https://docs.google.c"&amp;"om/spreadsheets/d/1ctPm1vUzcUCPuOj9-eoHUD85PqINFqUB0TjdSWmR5-c/edit?usp=share_link"",""ยะลา!N531"")+IMPORTRANGE(""https://docs.google.com/spreadsheets/d/1YiDIE7Klmt8osgdapRqYWNr7iPGFSsiJqq46S7PYRE0/edit?usp=share_link"",""ระนอง!N531"")+IMPORTRANGE(""https"&amp;"://docs.google.com/spreadsheets/d/16o_4B-V7AWw_6E93bSpXj_XxVv1oVQctk-B6z1dNEWU/edit?usp=share_link"",""สงขลา!N531"")+IMPORTRANGE(""https://docs.google.com/spreadsheets/d/16cywr71Fj4fA5OGRHsZh30ZG2gwJhMAQv69oVBzYHv0/edit?usp=share_link"",""สตูล!N531"")+IMP"&amp;"ORTRANGE(""https://docs.google.com/spreadsheets/d/1vO9Sws6kMtrVtyvrAJptINXjK8TFBoX9xLYOVK_C8bQ/edit?usp=share_link"",""สุราษฎร์ธานี!N531"")"),0)</f>
        <v>0</v>
      </c>
      <c r="O531" s="37"/>
      <c r="P531" s="37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20.25" customHeight="1">
      <c r="A532" s="573"/>
      <c r="B532" s="574"/>
      <c r="C532" s="575"/>
      <c r="D532" s="575"/>
      <c r="E532" s="575"/>
      <c r="F532" s="576" t="s">
        <v>189</v>
      </c>
      <c r="G532" s="188"/>
      <c r="H532" s="160" t="s">
        <v>12</v>
      </c>
      <c r="I532" s="36"/>
      <c r="J532" s="36"/>
      <c r="K532" s="37"/>
      <c r="L532" s="37"/>
      <c r="M532" s="37"/>
      <c r="N532" s="282">
        <f ca="1">IFERROR(__xludf.DUMMYFUNCTION("IMPORTRANGE(""https://docs.google.com/spreadsheets/d/1kC41EOXpGBFOW658Fs3oD8beYlym0-zO54WY-2Qnp9I/edit?usp=share_link"",""กระบี่!N532"")
+IMPORTRANGE(""https://docs.google.com/spreadsheets/d/1FbzMZY_f3MDiEuK7RpCQKrilJ_kpX0Wm7QBZ1L7EjIU/edit?usp=share_link"&amp;""",""ชุมพร!N532"")+IMPORTRANGE(""https://docs.google.com/spreadsheets/d/1v5sN-00LrXuhBxw4dkh2GrG_z4l5oAqOdJRBCsUyMaM/edit?usp=share_link"",""ตรัง!N532"")+IMPORTRANGE(""https://docs.google.com/spreadsheets/d/1T5rRTzFc79aSIvqnzkZNvwPstq829QYz_xALlO1Z0s8/edi"&amp;"t?usp=share_link"",""นครศรีธรรมราช!N532"")+IMPORTRANGE(""https://docs.google.com/spreadsheets/d/1BeghqumK0IvCmRd2QOy6_afsZq7ZtAGrSnVJy2u7WmY/edit?usp=share_link"",""นราธิวาส!N532"")+IMPORTRANGE(""https://docs.google.com/spreadsheets/d/1IwnW3-jjRf74MCLW-6P"&amp;"iFwMUffRQXZwZA7YM609NmRc/edit?usp=share_link"",""ปัตตานี!N532"")+IMPORTRANGE(""https://docs.google.com/spreadsheets/d/1vl4QWbWdFruual5o_wdo6ZSqXZ_it806oja4CctTLKs/edit?usp=share_link"",""พังงา!N532"")+IMPORTRANGE(""https://docs.google.com/spreadsheets/d/1"&amp;"b6QssHQp2FoAPSMKHOy273KNzAomaIKhtdlvuZ_zDNE/edit?usp=share_link"",""พัทลุง!N532"")+IMPORTRANGE(""https://docs.google.com/spreadsheets/d/1o7UZe4_OqlqtLDHrj01Z2YFRSZDf1DMy1n3XViHaxRc/edit?usp=share_link"",""ภูเก็ต!N532"")+IMPORTRANGE(""https://docs.google.c"&amp;"om/spreadsheets/d/1ctPm1vUzcUCPuOj9-eoHUD85PqINFqUB0TjdSWmR5-c/edit?usp=share_link"",""ยะลา!N532"")+IMPORTRANGE(""https://docs.google.com/spreadsheets/d/1YiDIE7Klmt8osgdapRqYWNr7iPGFSsiJqq46S7PYRE0/edit?usp=share_link"",""ระนอง!N532"")+IMPORTRANGE(""https"&amp;"://docs.google.com/spreadsheets/d/16o_4B-V7AWw_6E93bSpXj_XxVv1oVQctk-B6z1dNEWU/edit?usp=share_link"",""สงขลา!N532"")+IMPORTRANGE(""https://docs.google.com/spreadsheets/d/16cywr71Fj4fA5OGRHsZh30ZG2gwJhMAQv69oVBzYHv0/edit?usp=share_link"",""สตูล!N532"")+IMP"&amp;"ORTRANGE(""https://docs.google.com/spreadsheets/d/1vO9Sws6kMtrVtyvrAJptINXjK8TFBoX9xLYOVK_C8bQ/edit?usp=share_link"",""สุราษฎร์ธานี!N532"")"),285569)</f>
        <v>285569</v>
      </c>
      <c r="O532" s="37"/>
      <c r="P532" s="37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20.25" customHeight="1">
      <c r="A533" s="596"/>
      <c r="B533" s="574"/>
      <c r="C533" s="575"/>
      <c r="D533" s="605" t="s">
        <v>21</v>
      </c>
      <c r="E533" s="575"/>
      <c r="F533" s="575"/>
      <c r="G533" s="188"/>
      <c r="H533" s="167" t="s">
        <v>12</v>
      </c>
      <c r="I533" s="161"/>
      <c r="J533" s="161"/>
      <c r="K533" s="162"/>
      <c r="L533" s="37">
        <f t="shared" ref="L533:N533" ca="1" si="266">L534+L535</f>
        <v>0</v>
      </c>
      <c r="M533" s="37">
        <f t="shared" si="266"/>
        <v>0</v>
      </c>
      <c r="N533" s="37">
        <f t="shared" si="266"/>
        <v>0</v>
      </c>
      <c r="O533" s="37">
        <f t="shared" ref="O533:O535" ca="1" si="267">IF(L533&gt;0,N533*100/L533,0)</f>
        <v>0</v>
      </c>
      <c r="P533" s="37">
        <f t="shared" ref="P533:P535" si="268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20.25" hidden="1" customHeight="1">
      <c r="A534" s="598"/>
      <c r="B534" s="604"/>
      <c r="C534" s="599"/>
      <c r="D534" s="599"/>
      <c r="E534" s="601" t="s">
        <v>18</v>
      </c>
      <c r="F534" s="599"/>
      <c r="G534" s="602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44">
        <f t="shared" si="267"/>
        <v>0</v>
      </c>
      <c r="P534" s="44">
        <f t="shared" si="268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20.25" hidden="1" customHeight="1">
      <c r="A535" s="598"/>
      <c r="B535" s="604"/>
      <c r="C535" s="599"/>
      <c r="D535" s="599"/>
      <c r="E535" s="601" t="s">
        <v>19</v>
      </c>
      <c r="F535" s="599"/>
      <c r="G535" s="602"/>
      <c r="H535" s="168" t="s">
        <v>12</v>
      </c>
      <c r="I535" s="165"/>
      <c r="J535" s="165"/>
      <c r="K535" s="166"/>
      <c r="L535" s="44">
        <f ca="1">IFERROR(__xludf.DUMMYFUNCTION("IMPORTRANGE(""https://docs.google.com/spreadsheets/d/1kC41EOXpGBFOW658Fs3oD8beYlym0-zO54WY-2Qnp9I/edit?usp=share_link"",""กระบี่!L535"")
+IMPORTRANGE(""https://docs.google.com/spreadsheets/d/1FbzMZY_f3MDiEuK7RpCQKrilJ_kpX0Wm7QBZ1L7EjIU/edit?usp=share_link"&amp;""",""ชุมพร!L535"")+IMPORTRANGE(""https://docs.google.com/spreadsheets/d/1v5sN-00LrXuhBxw4dkh2GrG_z4l5oAqOdJRBCsUyMaM/edit?usp=share_link"",""ตรัง!L535"")+IMPORTRANGE(""https://docs.google.com/spreadsheets/d/1T5rRTzFc79aSIvqnzkZNvwPstq829QYz_xALlO1Z0s8/edi"&amp;"t?usp=share_link"",""นครศรีธรรมราช!L535"")+IMPORTRANGE(""https://docs.google.com/spreadsheets/d/1BeghqumK0IvCmRd2QOy6_afsZq7ZtAGrSnVJy2u7WmY/edit?usp=share_link"",""นราธิวาส!L535"")+IMPORTRANGE(""https://docs.google.com/spreadsheets/d/1IwnW3-jjRf74MCLW-6P"&amp;"iFwMUffRQXZwZA7YM609NmRc/edit?usp=share_link"",""ปัตตานี!L535"")+IMPORTRANGE(""https://docs.google.com/spreadsheets/d/1vl4QWbWdFruual5o_wdo6ZSqXZ_it806oja4CctTLKs/edit?usp=share_link"",""พังงา!L535"")+IMPORTRANGE(""https://docs.google.com/spreadsheets/d/1"&amp;"b6QssHQp2FoAPSMKHOy273KNzAomaIKhtdlvuZ_zDNE/edit?usp=share_link"",""พัทลุง!L535"")+IMPORTRANGE(""https://docs.google.com/spreadsheets/d/1o7UZe4_OqlqtLDHrj01Z2YFRSZDf1DMy1n3XViHaxRc/edit?usp=share_link"",""ภูเก็ต!L535"")+IMPORTRANGE(""https://docs.google.c"&amp;"om/spreadsheets/d/1ctPm1vUzcUCPuOj9-eoHUD85PqINFqUB0TjdSWmR5-c/edit?usp=share_link"",""ยะลา!L535"")+IMPORTRANGE(""https://docs.google.com/spreadsheets/d/1YiDIE7Klmt8osgdapRqYWNr7iPGFSsiJqq46S7PYRE0/edit?usp=share_link"",""ระนอง!L535"")+IMPORTRANGE(""https"&amp;"://docs.google.com/spreadsheets/d/16o_4B-V7AWw_6E93bSpXj_XxVv1oVQctk-B6z1dNEWU/edit?usp=share_link"",""สงขลา!L535"")+IMPORTRANGE(""https://docs.google.com/spreadsheets/d/16cywr71Fj4fA5OGRHsZh30ZG2gwJhMAQv69oVBzYHv0/edit?usp=share_link"",""สตูล!L535"")+IMP"&amp;"ORTRANGE(""https://docs.google.com/spreadsheets/d/1vO9Sws6kMtrVtyvrAJptINXjK8TFBoX9xLYOVK_C8bQ/edit?usp=share_link"",""สุราษฎร์ธานี!L535"")"),0)</f>
        <v>0</v>
      </c>
      <c r="M535" s="92">
        <v>0</v>
      </c>
      <c r="N535" s="92">
        <v>0</v>
      </c>
      <c r="O535" s="44">
        <f t="shared" ca="1" si="267"/>
        <v>0</v>
      </c>
      <c r="P535" s="44">
        <f t="shared" si="268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20.25" customHeight="1">
      <c r="A536" s="607"/>
      <c r="B536" s="608"/>
      <c r="C536" s="575" t="s">
        <v>16</v>
      </c>
      <c r="D536" s="678" t="s">
        <v>38</v>
      </c>
      <c r="E536" s="611"/>
      <c r="F536" s="611"/>
      <c r="G536" s="612"/>
      <c r="H536" s="174"/>
      <c r="I536" s="161"/>
      <c r="J536" s="161"/>
      <c r="K536" s="162"/>
      <c r="L536" s="162"/>
      <c r="M536" s="162"/>
      <c r="N536" s="162"/>
      <c r="O536" s="162"/>
      <c r="P536" s="162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20.25" customHeight="1">
      <c r="A537" s="573"/>
      <c r="B537" s="574"/>
      <c r="C537" s="575"/>
      <c r="D537" s="679" t="s">
        <v>227</v>
      </c>
      <c r="E537" s="575"/>
      <c r="F537" s="575"/>
      <c r="G537" s="188"/>
      <c r="H537" s="35" t="s">
        <v>35</v>
      </c>
      <c r="I537" s="680">
        <f ca="1">IFERROR(__xludf.DUMMYFUNCTION("IMPORTRANGE(""https://docs.google.com/spreadsheets/d/1kC41EOXpGBFOW658Fs3oD8beYlym0-zO54WY-2Qnp9I/edit?usp=share_link"",""กระบี่!I537"")
+IMPORTRANGE(""https://docs.google.com/spreadsheets/d/1FbzMZY_f3MDiEuK7RpCQKrilJ_kpX0Wm7QBZ1L7EjIU/edit?usp=share_link"&amp;""",""ชุมพร!I537"")+IMPORTRANGE(""https://docs.google.com/spreadsheets/d/1v5sN-00LrXuhBxw4dkh2GrG_z4l5oAqOdJRBCsUyMaM/edit?usp=share_link"",""ตรัง!I537"")+IMPORTRANGE(""https://docs.google.com/spreadsheets/d/1T5rRTzFc79aSIvqnzkZNvwPstq829QYz_xALlO1Z0s8/edi"&amp;"t?usp=share_link"",""นครศรีธรรมราช!I537"")+IMPORTRANGE(""https://docs.google.com/spreadsheets/d/1BeghqumK0IvCmRd2QOy6_afsZq7ZtAGrSnVJy2u7WmY/edit?usp=share_link"",""นราธิวาส!I537"")+IMPORTRANGE(""https://docs.google.com/spreadsheets/d/1IwnW3-jjRf74MCLW-6P"&amp;"iFwMUffRQXZwZA7YM609NmRc/edit?usp=share_link"",""ปัตตานี!I537"")+IMPORTRANGE(""https://docs.google.com/spreadsheets/d/1vl4QWbWdFruual5o_wdo6ZSqXZ_it806oja4CctTLKs/edit?usp=share_link"",""พังงา!I537"")+IMPORTRANGE(""https://docs.google.com/spreadsheets/d/1"&amp;"b6QssHQp2FoAPSMKHOy273KNzAomaIKhtdlvuZ_zDNE/edit?usp=share_link"",""พัทลุง!I537"")+IMPORTRANGE(""https://docs.google.com/spreadsheets/d/1o7UZe4_OqlqtLDHrj01Z2YFRSZDf1DMy1n3XViHaxRc/edit?usp=share_link"",""ภูเก็ต!I537"")+IMPORTRANGE(""https://docs.google.c"&amp;"om/spreadsheets/d/1ctPm1vUzcUCPuOj9-eoHUD85PqINFqUB0TjdSWmR5-c/edit?usp=share_link"",""ยะลา!I537"")+IMPORTRANGE(""https://docs.google.com/spreadsheets/d/1YiDIE7Klmt8osgdapRqYWNr7iPGFSsiJqq46S7PYRE0/edit?usp=share_link"",""ระนอง!I537"")+IMPORTRANGE(""https"&amp;"://docs.google.com/spreadsheets/d/16o_4B-V7AWw_6E93bSpXj_XxVv1oVQctk-B6z1dNEWU/edit?usp=share_link"",""สงขลา!I537"")+IMPORTRANGE(""https://docs.google.com/spreadsheets/d/16cywr71Fj4fA5OGRHsZh30ZG2gwJhMAQv69oVBzYHv0/edit?usp=share_link"",""สตูล!I537"")+IMP"&amp;"ORTRANGE(""https://docs.google.com/spreadsheets/d/1vO9Sws6kMtrVtyvrAJptINXjK8TFBoX9xLYOVK_C8bQ/edit?usp=share_link"",""สุราษฎร์ธานี!I537"")"),190)</f>
        <v>190</v>
      </c>
      <c r="J537" s="193">
        <f ca="1">IFERROR(__xludf.DUMMYFUNCTION("IMPORTRANGE(""https://docs.google.com/spreadsheets/d/1kC41EOXpGBFOW658Fs3oD8beYlym0-zO54WY-2Qnp9I/edit?usp=share_link"",""กระบี่!J537"")
+IMPORTRANGE(""https://docs.google.com/spreadsheets/d/1FbzMZY_f3MDiEuK7RpCQKrilJ_kpX0Wm7QBZ1L7EjIU/edit?usp=share_link"&amp;""",""ชุมพร!J537"")+IMPORTRANGE(""https://docs.google.com/spreadsheets/d/1v5sN-00LrXuhBxw4dkh2GrG_z4l5oAqOdJRBCsUyMaM/edit?usp=share_link"",""ตรัง!J537"")+IMPORTRANGE(""https://docs.google.com/spreadsheets/d/1T5rRTzFc79aSIvqnzkZNvwPstq829QYz_xALlO1Z0s8/edi"&amp;"t?usp=share_link"",""นครศรีธรรมราช!J537"")+IMPORTRANGE(""https://docs.google.com/spreadsheets/d/1BeghqumK0IvCmRd2QOy6_afsZq7ZtAGrSnVJy2u7WmY/edit?usp=share_link"",""นราธิวาส!J537"")+IMPORTRANGE(""https://docs.google.com/spreadsheets/d/1IwnW3-jjRf74MCLW-6P"&amp;"iFwMUffRQXZwZA7YM609NmRc/edit?usp=share_link"",""ปัตตานี!J537"")+IMPORTRANGE(""https://docs.google.com/spreadsheets/d/1vl4QWbWdFruual5o_wdo6ZSqXZ_it806oja4CctTLKs/edit?usp=share_link"",""พังงา!J537"")+IMPORTRANGE(""https://docs.google.com/spreadsheets/d/1"&amp;"b6QssHQp2FoAPSMKHOy273KNzAomaIKhtdlvuZ_zDNE/edit?usp=share_link"",""พัทลุง!J537"")+IMPORTRANGE(""https://docs.google.com/spreadsheets/d/1o7UZe4_OqlqtLDHrj01Z2YFRSZDf1DMy1n3XViHaxRc/edit?usp=share_link"",""ภูเก็ต!J537"")+IMPORTRANGE(""https://docs.google.c"&amp;"om/spreadsheets/d/1ctPm1vUzcUCPuOj9-eoHUD85PqINFqUB0TjdSWmR5-c/edit?usp=share_link"",""ยะลา!J537"")+IMPORTRANGE(""https://docs.google.com/spreadsheets/d/1YiDIE7Klmt8osgdapRqYWNr7iPGFSsiJqq46S7PYRE0/edit?usp=share_link"",""ระนอง!J537"")+IMPORTRANGE(""https"&amp;"://docs.google.com/spreadsheets/d/16o_4B-V7AWw_6E93bSpXj_XxVv1oVQctk-B6z1dNEWU/edit?usp=share_link"",""สงขลา!J537"")+IMPORTRANGE(""https://docs.google.com/spreadsheets/d/16cywr71Fj4fA5OGRHsZh30ZG2gwJhMAQv69oVBzYHv0/edit?usp=share_link"",""สตูล!J537"")+IMP"&amp;"ORTRANGE(""https://docs.google.com/spreadsheets/d/1vO9Sws6kMtrVtyvrAJptINXjK8TFBoX9xLYOVK_C8bQ/edit?usp=share_link"",""สุราษฎร์ธานี!J537"")"),190)</f>
        <v>190</v>
      </c>
      <c r="K537" s="37">
        <f t="shared" ref="K537:K543" ca="1" si="269">IF(I537&gt;0,J537*100/I537,0)</f>
        <v>100</v>
      </c>
      <c r="L537" s="37"/>
      <c r="M537" s="37"/>
      <c r="N537" s="37"/>
      <c r="O537" s="37"/>
      <c r="P537" s="37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20.25" customHeight="1">
      <c r="A538" s="573"/>
      <c r="B538" s="574"/>
      <c r="C538" s="575"/>
      <c r="D538" s="576"/>
      <c r="E538" s="682" t="s">
        <v>228</v>
      </c>
      <c r="F538" s="575"/>
      <c r="G538" s="188"/>
      <c r="H538" s="35" t="s">
        <v>35</v>
      </c>
      <c r="I538" s="269">
        <f ca="1">IFERROR(__xludf.DUMMYFUNCTION("IMPORTRANGE(""https://docs.google.com/spreadsheets/d/1kC41EOXpGBFOW658Fs3oD8beYlym0-zO54WY-2Qnp9I/edit?usp=share_link"",""กระบี่!I538"")
+IMPORTRANGE(""https://docs.google.com/spreadsheets/d/1FbzMZY_f3MDiEuK7RpCQKrilJ_kpX0Wm7QBZ1L7EjIU/edit?usp=share_link"&amp;""",""ชุมพร!I538"")+IMPORTRANGE(""https://docs.google.com/spreadsheets/d/1v5sN-00LrXuhBxw4dkh2GrG_z4l5oAqOdJRBCsUyMaM/edit?usp=share_link"",""ตรัง!I538"")+IMPORTRANGE(""https://docs.google.com/spreadsheets/d/1T5rRTzFc79aSIvqnzkZNvwPstq829QYz_xALlO1Z0s8/edi"&amp;"t?usp=share_link"",""นครศรีธรรมราช!I538"")+IMPORTRANGE(""https://docs.google.com/spreadsheets/d/1BeghqumK0IvCmRd2QOy6_afsZq7ZtAGrSnVJy2u7WmY/edit?usp=share_link"",""นราธิวาส!I538"")+IMPORTRANGE(""https://docs.google.com/spreadsheets/d/1IwnW3-jjRf74MCLW-6P"&amp;"iFwMUffRQXZwZA7YM609NmRc/edit?usp=share_link"",""ปัตตานี!I538"")+IMPORTRANGE(""https://docs.google.com/spreadsheets/d/1vl4QWbWdFruual5o_wdo6ZSqXZ_it806oja4CctTLKs/edit?usp=share_link"",""พังงา!I538"")+IMPORTRANGE(""https://docs.google.com/spreadsheets/d/1"&amp;"b6QssHQp2FoAPSMKHOy273KNzAomaIKhtdlvuZ_zDNE/edit?usp=share_link"",""พัทลุง!I538"")+IMPORTRANGE(""https://docs.google.com/spreadsheets/d/1o7UZe4_OqlqtLDHrj01Z2YFRSZDf1DMy1n3XViHaxRc/edit?usp=share_link"",""ภูเก็ต!I538"")+IMPORTRANGE(""https://docs.google.c"&amp;"om/spreadsheets/d/1ctPm1vUzcUCPuOj9-eoHUD85PqINFqUB0TjdSWmR5-c/edit?usp=share_link"",""ยะลา!I538"")+IMPORTRANGE(""https://docs.google.com/spreadsheets/d/1YiDIE7Klmt8osgdapRqYWNr7iPGFSsiJqq46S7PYRE0/edit?usp=share_link"",""ระนอง!I538"")+IMPORTRANGE(""https"&amp;"://docs.google.com/spreadsheets/d/16o_4B-V7AWw_6E93bSpXj_XxVv1oVQctk-B6z1dNEWU/edit?usp=share_link"",""สงขลา!I538"")+IMPORTRANGE(""https://docs.google.com/spreadsheets/d/16cywr71Fj4fA5OGRHsZh30ZG2gwJhMAQv69oVBzYHv0/edit?usp=share_link"",""สตูล!I538"")+IMP"&amp;"ORTRANGE(""https://docs.google.com/spreadsheets/d/1vO9Sws6kMtrVtyvrAJptINXjK8TFBoX9xLYOVK_C8bQ/edit?usp=share_link"",""สุราษฎร์ธานี!I538"")"),190)</f>
        <v>190</v>
      </c>
      <c r="J538" s="182">
        <f ca="1">IFERROR(__xludf.DUMMYFUNCTION("IMPORTRANGE(""https://docs.google.com/spreadsheets/d/1kC41EOXpGBFOW658Fs3oD8beYlym0-zO54WY-2Qnp9I/edit?usp=share_link"",""กระบี่!J538"")
+IMPORTRANGE(""https://docs.google.com/spreadsheets/d/1FbzMZY_f3MDiEuK7RpCQKrilJ_kpX0Wm7QBZ1L7EjIU/edit?usp=share_link"&amp;""",""ชุมพร!J538"")+IMPORTRANGE(""https://docs.google.com/spreadsheets/d/1v5sN-00LrXuhBxw4dkh2GrG_z4l5oAqOdJRBCsUyMaM/edit?usp=share_link"",""ตรัง!J538"")+IMPORTRANGE(""https://docs.google.com/spreadsheets/d/1T5rRTzFc79aSIvqnzkZNvwPstq829QYz_xALlO1Z0s8/edi"&amp;"t?usp=share_link"",""นครศรีธรรมราช!J538"")+IMPORTRANGE(""https://docs.google.com/spreadsheets/d/1BeghqumK0IvCmRd2QOy6_afsZq7ZtAGrSnVJy2u7WmY/edit?usp=share_link"",""นราธิวาส!J538"")+IMPORTRANGE(""https://docs.google.com/spreadsheets/d/1IwnW3-jjRf74MCLW-6P"&amp;"iFwMUffRQXZwZA7YM609NmRc/edit?usp=share_link"",""ปัตตานี!J538"")+IMPORTRANGE(""https://docs.google.com/spreadsheets/d/1vl4QWbWdFruual5o_wdo6ZSqXZ_it806oja4CctTLKs/edit?usp=share_link"",""พังงา!J538"")+IMPORTRANGE(""https://docs.google.com/spreadsheets/d/1"&amp;"b6QssHQp2FoAPSMKHOy273KNzAomaIKhtdlvuZ_zDNE/edit?usp=share_link"",""พัทลุง!J538"")+IMPORTRANGE(""https://docs.google.com/spreadsheets/d/1o7UZe4_OqlqtLDHrj01Z2YFRSZDf1DMy1n3XViHaxRc/edit?usp=share_link"",""ภูเก็ต!J538"")+IMPORTRANGE(""https://docs.google.c"&amp;"om/spreadsheets/d/1ctPm1vUzcUCPuOj9-eoHUD85PqINFqUB0TjdSWmR5-c/edit?usp=share_link"",""ยะลา!J538"")+IMPORTRANGE(""https://docs.google.com/spreadsheets/d/1YiDIE7Klmt8osgdapRqYWNr7iPGFSsiJqq46S7PYRE0/edit?usp=share_link"",""ระนอง!J538"")+IMPORTRANGE(""https"&amp;"://docs.google.com/spreadsheets/d/16o_4B-V7AWw_6E93bSpXj_XxVv1oVQctk-B6z1dNEWU/edit?usp=share_link"",""สงขลา!J538"")+IMPORTRANGE(""https://docs.google.com/spreadsheets/d/16cywr71Fj4fA5OGRHsZh30ZG2gwJhMAQv69oVBzYHv0/edit?usp=share_link"",""สตูล!J538"")+IMP"&amp;"ORTRANGE(""https://docs.google.com/spreadsheets/d/1vO9Sws6kMtrVtyvrAJptINXjK8TFBoX9xLYOVK_C8bQ/edit?usp=share_link"",""สุราษฎร์ธานี!J538"")"),190)</f>
        <v>190</v>
      </c>
      <c r="K538" s="37">
        <f t="shared" ca="1" si="269"/>
        <v>100</v>
      </c>
      <c r="L538" s="37"/>
      <c r="M538" s="37"/>
      <c r="N538" s="37"/>
      <c r="O538" s="37"/>
      <c r="P538" s="37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20.25" customHeight="1">
      <c r="A539" s="573"/>
      <c r="B539" s="574"/>
      <c r="C539" s="575"/>
      <c r="D539" s="576"/>
      <c r="E539" s="682" t="s">
        <v>229</v>
      </c>
      <c r="F539" s="575"/>
      <c r="G539" s="188"/>
      <c r="H539" s="35" t="s">
        <v>35</v>
      </c>
      <c r="I539" s="269">
        <f ca="1">IFERROR(__xludf.DUMMYFUNCTION("IMPORTRANGE(""https://docs.google.com/spreadsheets/d/1kC41EOXpGBFOW658Fs3oD8beYlym0-zO54WY-2Qnp9I/edit?usp=share_link"",""กระบี่!I539"")
+IMPORTRANGE(""https://docs.google.com/spreadsheets/d/1FbzMZY_f3MDiEuK7RpCQKrilJ_kpX0Wm7QBZ1L7EjIU/edit?usp=share_link"&amp;""",""ชุมพร!I539"")+IMPORTRANGE(""https://docs.google.com/spreadsheets/d/1v5sN-00LrXuhBxw4dkh2GrG_z4l5oAqOdJRBCsUyMaM/edit?usp=share_link"",""ตรัง!I539"")+IMPORTRANGE(""https://docs.google.com/spreadsheets/d/1T5rRTzFc79aSIvqnzkZNvwPstq829QYz_xALlO1Z0s8/edi"&amp;"t?usp=share_link"",""นครศรีธรรมราช!I539"")+IMPORTRANGE(""https://docs.google.com/spreadsheets/d/1BeghqumK0IvCmRd2QOy6_afsZq7ZtAGrSnVJy2u7WmY/edit?usp=share_link"",""นราธิวาส!I539"")+IMPORTRANGE(""https://docs.google.com/spreadsheets/d/1IwnW3-jjRf74MCLW-6P"&amp;"iFwMUffRQXZwZA7YM609NmRc/edit?usp=share_link"",""ปัตตานี!I539"")+IMPORTRANGE(""https://docs.google.com/spreadsheets/d/1vl4QWbWdFruual5o_wdo6ZSqXZ_it806oja4CctTLKs/edit?usp=share_link"",""พังงา!I539"")+IMPORTRANGE(""https://docs.google.com/spreadsheets/d/1"&amp;"b6QssHQp2FoAPSMKHOy273KNzAomaIKhtdlvuZ_zDNE/edit?usp=share_link"",""พัทลุง!I539"")+IMPORTRANGE(""https://docs.google.com/spreadsheets/d/1o7UZe4_OqlqtLDHrj01Z2YFRSZDf1DMy1n3XViHaxRc/edit?usp=share_link"",""ภูเก็ต!I539"")+IMPORTRANGE(""https://docs.google.c"&amp;"om/spreadsheets/d/1ctPm1vUzcUCPuOj9-eoHUD85PqINFqUB0TjdSWmR5-c/edit?usp=share_link"",""ยะลา!I539"")+IMPORTRANGE(""https://docs.google.com/spreadsheets/d/1YiDIE7Klmt8osgdapRqYWNr7iPGFSsiJqq46S7PYRE0/edit?usp=share_link"",""ระนอง!I539"")+IMPORTRANGE(""https"&amp;"://docs.google.com/spreadsheets/d/16o_4B-V7AWw_6E93bSpXj_XxVv1oVQctk-B6z1dNEWU/edit?usp=share_link"",""สงขลา!I539"")+IMPORTRANGE(""https://docs.google.com/spreadsheets/d/16cywr71Fj4fA5OGRHsZh30ZG2gwJhMAQv69oVBzYHv0/edit?usp=share_link"",""สตูล!I539"")+IMP"&amp;"ORTRANGE(""https://docs.google.com/spreadsheets/d/1vO9Sws6kMtrVtyvrAJptINXjK8TFBoX9xLYOVK_C8bQ/edit?usp=share_link"",""สุราษฎร์ธานี!I539"")"),160)</f>
        <v>160</v>
      </c>
      <c r="J539" s="182">
        <f ca="1">IFERROR(__xludf.DUMMYFUNCTION("IMPORTRANGE(""https://docs.google.com/spreadsheets/d/1kC41EOXpGBFOW658Fs3oD8beYlym0-zO54WY-2Qnp9I/edit?usp=share_link"",""กระบี่!J539"")
+IMPORTRANGE(""https://docs.google.com/spreadsheets/d/1FbzMZY_f3MDiEuK7RpCQKrilJ_kpX0Wm7QBZ1L7EjIU/edit?usp=share_link"&amp;""",""ชุมพร!J539"")+IMPORTRANGE(""https://docs.google.com/spreadsheets/d/1v5sN-00LrXuhBxw4dkh2GrG_z4l5oAqOdJRBCsUyMaM/edit?usp=share_link"",""ตรัง!J539"")+IMPORTRANGE(""https://docs.google.com/spreadsheets/d/1T5rRTzFc79aSIvqnzkZNvwPstq829QYz_xALlO1Z0s8/edi"&amp;"t?usp=share_link"",""นครศรีธรรมราช!J539"")+IMPORTRANGE(""https://docs.google.com/spreadsheets/d/1BeghqumK0IvCmRd2QOy6_afsZq7ZtAGrSnVJy2u7WmY/edit?usp=share_link"",""นราธิวาส!J539"")+IMPORTRANGE(""https://docs.google.com/spreadsheets/d/1IwnW3-jjRf74MCLW-6P"&amp;"iFwMUffRQXZwZA7YM609NmRc/edit?usp=share_link"",""ปัตตานี!J539"")+IMPORTRANGE(""https://docs.google.com/spreadsheets/d/1vl4QWbWdFruual5o_wdo6ZSqXZ_it806oja4CctTLKs/edit?usp=share_link"",""พังงา!J539"")+IMPORTRANGE(""https://docs.google.com/spreadsheets/d/1"&amp;"b6QssHQp2FoAPSMKHOy273KNzAomaIKhtdlvuZ_zDNE/edit?usp=share_link"",""พัทลุง!J539"")+IMPORTRANGE(""https://docs.google.com/spreadsheets/d/1o7UZe4_OqlqtLDHrj01Z2YFRSZDf1DMy1n3XViHaxRc/edit?usp=share_link"",""ภูเก็ต!J539"")+IMPORTRANGE(""https://docs.google.c"&amp;"om/spreadsheets/d/1ctPm1vUzcUCPuOj9-eoHUD85PqINFqUB0TjdSWmR5-c/edit?usp=share_link"",""ยะลา!J539"")+IMPORTRANGE(""https://docs.google.com/spreadsheets/d/1YiDIE7Klmt8osgdapRqYWNr7iPGFSsiJqq46S7PYRE0/edit?usp=share_link"",""ระนอง!J539"")+IMPORTRANGE(""https"&amp;"://docs.google.com/spreadsheets/d/16o_4B-V7AWw_6E93bSpXj_XxVv1oVQctk-B6z1dNEWU/edit?usp=share_link"",""สงขลา!J539"")+IMPORTRANGE(""https://docs.google.com/spreadsheets/d/16cywr71Fj4fA5OGRHsZh30ZG2gwJhMAQv69oVBzYHv0/edit?usp=share_link"",""สตูล!J539"")+IMP"&amp;"ORTRANGE(""https://docs.google.com/spreadsheets/d/1vO9Sws6kMtrVtyvrAJptINXjK8TFBoX9xLYOVK_C8bQ/edit?usp=share_link"",""สุราษฎร์ธานี!J539"")"),160)</f>
        <v>160</v>
      </c>
      <c r="K539" s="37">
        <f t="shared" ca="1" si="269"/>
        <v>100</v>
      </c>
      <c r="L539" s="37"/>
      <c r="M539" s="37"/>
      <c r="N539" s="37"/>
      <c r="O539" s="37"/>
      <c r="P539" s="37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20.25" customHeight="1">
      <c r="A540" s="573"/>
      <c r="B540" s="574"/>
      <c r="C540" s="575"/>
      <c r="D540" s="576"/>
      <c r="E540" s="682" t="s">
        <v>230</v>
      </c>
      <c r="F540" s="575"/>
      <c r="G540" s="188"/>
      <c r="H540" s="35" t="s">
        <v>35</v>
      </c>
      <c r="I540" s="269">
        <f ca="1">IFERROR(__xludf.DUMMYFUNCTION("IMPORTRANGE(""https://docs.google.com/spreadsheets/d/1kC41EOXpGBFOW658Fs3oD8beYlym0-zO54WY-2Qnp9I/edit?usp=share_link"",""กระบี่!I540"")
+IMPORTRANGE(""https://docs.google.com/spreadsheets/d/1FbzMZY_f3MDiEuK7RpCQKrilJ_kpX0Wm7QBZ1L7EjIU/edit?usp=share_link"&amp;""",""ชุมพร!I540"")+IMPORTRANGE(""https://docs.google.com/spreadsheets/d/1v5sN-00LrXuhBxw4dkh2GrG_z4l5oAqOdJRBCsUyMaM/edit?usp=share_link"",""ตรัง!I540"")+IMPORTRANGE(""https://docs.google.com/spreadsheets/d/1T5rRTzFc79aSIvqnzkZNvwPstq829QYz_xALlO1Z0s8/edi"&amp;"t?usp=share_link"",""นครศรีธรรมราช!I540"")+IMPORTRANGE(""https://docs.google.com/spreadsheets/d/1BeghqumK0IvCmRd2QOy6_afsZq7ZtAGrSnVJy2u7WmY/edit?usp=share_link"",""นราธิวาส!I540"")+IMPORTRANGE(""https://docs.google.com/spreadsheets/d/1IwnW3-jjRf74MCLW-6P"&amp;"iFwMUffRQXZwZA7YM609NmRc/edit?usp=share_link"",""ปัตตานี!I540"")+IMPORTRANGE(""https://docs.google.com/spreadsheets/d/1vl4QWbWdFruual5o_wdo6ZSqXZ_it806oja4CctTLKs/edit?usp=share_link"",""พังงา!I540"")+IMPORTRANGE(""https://docs.google.com/spreadsheets/d/1"&amp;"b6QssHQp2FoAPSMKHOy273KNzAomaIKhtdlvuZ_zDNE/edit?usp=share_link"",""พัทลุง!I540"")+IMPORTRANGE(""https://docs.google.com/spreadsheets/d/1o7UZe4_OqlqtLDHrj01Z2YFRSZDf1DMy1n3XViHaxRc/edit?usp=share_link"",""ภูเก็ต!I540"")+IMPORTRANGE(""https://docs.google.c"&amp;"om/spreadsheets/d/1ctPm1vUzcUCPuOj9-eoHUD85PqINFqUB0TjdSWmR5-c/edit?usp=share_link"",""ยะลา!I540"")+IMPORTRANGE(""https://docs.google.com/spreadsheets/d/1YiDIE7Klmt8osgdapRqYWNr7iPGFSsiJqq46S7PYRE0/edit?usp=share_link"",""ระนอง!I540"")+IMPORTRANGE(""https"&amp;"://docs.google.com/spreadsheets/d/16o_4B-V7AWw_6E93bSpXj_XxVv1oVQctk-B6z1dNEWU/edit?usp=share_link"",""สงขลา!I540"")+IMPORTRANGE(""https://docs.google.com/spreadsheets/d/16cywr71Fj4fA5OGRHsZh30ZG2gwJhMAQv69oVBzYHv0/edit?usp=share_link"",""สตูล!I540"")+IMP"&amp;"ORTRANGE(""https://docs.google.com/spreadsheets/d/1vO9Sws6kMtrVtyvrAJptINXjK8TFBoX9xLYOVK_C8bQ/edit?usp=share_link"",""สุราษฎร์ธานี!I540"")"),160)</f>
        <v>160</v>
      </c>
      <c r="J540" s="182">
        <f ca="1">IFERROR(__xludf.DUMMYFUNCTION("IMPORTRANGE(""https://docs.google.com/spreadsheets/d/1kC41EOXpGBFOW658Fs3oD8beYlym0-zO54WY-2Qnp9I/edit?usp=share_link"",""กระบี่!J540"")
+IMPORTRANGE(""https://docs.google.com/spreadsheets/d/1FbzMZY_f3MDiEuK7RpCQKrilJ_kpX0Wm7QBZ1L7EjIU/edit?usp=share_link"&amp;""",""ชุมพร!J540"")+IMPORTRANGE(""https://docs.google.com/spreadsheets/d/1v5sN-00LrXuhBxw4dkh2GrG_z4l5oAqOdJRBCsUyMaM/edit?usp=share_link"",""ตรัง!J540"")+IMPORTRANGE(""https://docs.google.com/spreadsheets/d/1T5rRTzFc79aSIvqnzkZNvwPstq829QYz_xALlO1Z0s8/edi"&amp;"t?usp=share_link"",""นครศรีธรรมราช!J540"")+IMPORTRANGE(""https://docs.google.com/spreadsheets/d/1BeghqumK0IvCmRd2QOy6_afsZq7ZtAGrSnVJy2u7WmY/edit?usp=share_link"",""นราธิวาส!J540"")+IMPORTRANGE(""https://docs.google.com/spreadsheets/d/1IwnW3-jjRf74MCLW-6P"&amp;"iFwMUffRQXZwZA7YM609NmRc/edit?usp=share_link"",""ปัตตานี!J540"")+IMPORTRANGE(""https://docs.google.com/spreadsheets/d/1vl4QWbWdFruual5o_wdo6ZSqXZ_it806oja4CctTLKs/edit?usp=share_link"",""พังงา!J540"")+IMPORTRANGE(""https://docs.google.com/spreadsheets/d/1"&amp;"b6QssHQp2FoAPSMKHOy273KNzAomaIKhtdlvuZ_zDNE/edit?usp=share_link"",""พัทลุง!J540"")+IMPORTRANGE(""https://docs.google.com/spreadsheets/d/1o7UZe4_OqlqtLDHrj01Z2YFRSZDf1DMy1n3XViHaxRc/edit?usp=share_link"",""ภูเก็ต!J540"")+IMPORTRANGE(""https://docs.google.c"&amp;"om/spreadsheets/d/1ctPm1vUzcUCPuOj9-eoHUD85PqINFqUB0TjdSWmR5-c/edit?usp=share_link"",""ยะลา!J540"")+IMPORTRANGE(""https://docs.google.com/spreadsheets/d/1YiDIE7Klmt8osgdapRqYWNr7iPGFSsiJqq46S7PYRE0/edit?usp=share_link"",""ระนอง!J540"")+IMPORTRANGE(""https"&amp;"://docs.google.com/spreadsheets/d/16o_4B-V7AWw_6E93bSpXj_XxVv1oVQctk-B6z1dNEWU/edit?usp=share_link"",""สงขลา!J540"")+IMPORTRANGE(""https://docs.google.com/spreadsheets/d/16cywr71Fj4fA5OGRHsZh30ZG2gwJhMAQv69oVBzYHv0/edit?usp=share_link"",""สตูล!J540"")+IMP"&amp;"ORTRANGE(""https://docs.google.com/spreadsheets/d/1vO9Sws6kMtrVtyvrAJptINXjK8TFBoX9xLYOVK_C8bQ/edit?usp=share_link"",""สุราษฎร์ธานี!J540"")"),160)</f>
        <v>160</v>
      </c>
      <c r="K540" s="37">
        <f t="shared" ca="1" si="269"/>
        <v>100</v>
      </c>
      <c r="L540" s="37"/>
      <c r="M540" s="37"/>
      <c r="N540" s="37"/>
      <c r="O540" s="37"/>
      <c r="P540" s="37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20.25" customHeight="1">
      <c r="A541" s="573"/>
      <c r="B541" s="574"/>
      <c r="C541" s="575"/>
      <c r="D541" s="576"/>
      <c r="E541" s="683" t="s">
        <v>231</v>
      </c>
      <c r="F541" s="575"/>
      <c r="G541" s="188"/>
      <c r="H541" s="35" t="s">
        <v>35</v>
      </c>
      <c r="I541" s="269">
        <f ca="1">IFERROR(__xludf.DUMMYFUNCTION("IMPORTRANGE(""https://docs.google.com/spreadsheets/d/1kC41EOXpGBFOW658Fs3oD8beYlym0-zO54WY-2Qnp9I/edit?usp=share_link"",""กระบี่!I541"")
+IMPORTRANGE(""https://docs.google.com/spreadsheets/d/1FbzMZY_f3MDiEuK7RpCQKrilJ_kpX0Wm7QBZ1L7EjIU/edit?usp=share_link"&amp;""",""ชุมพร!I541"")+IMPORTRANGE(""https://docs.google.com/spreadsheets/d/1v5sN-00LrXuhBxw4dkh2GrG_z4l5oAqOdJRBCsUyMaM/edit?usp=share_link"",""ตรัง!I541"")+IMPORTRANGE(""https://docs.google.com/spreadsheets/d/1T5rRTzFc79aSIvqnzkZNvwPstq829QYz_xALlO1Z0s8/edi"&amp;"t?usp=share_link"",""นครศรีธรรมราช!I541"")+IMPORTRANGE(""https://docs.google.com/spreadsheets/d/1BeghqumK0IvCmRd2QOy6_afsZq7ZtAGrSnVJy2u7WmY/edit?usp=share_link"",""นราธิวาส!I541"")+IMPORTRANGE(""https://docs.google.com/spreadsheets/d/1IwnW3-jjRf74MCLW-6P"&amp;"iFwMUffRQXZwZA7YM609NmRc/edit?usp=share_link"",""ปัตตานี!I541"")+IMPORTRANGE(""https://docs.google.com/spreadsheets/d/1vl4QWbWdFruual5o_wdo6ZSqXZ_it806oja4CctTLKs/edit?usp=share_link"",""พังงา!I541"")+IMPORTRANGE(""https://docs.google.com/spreadsheets/d/1"&amp;"b6QssHQp2FoAPSMKHOy273KNzAomaIKhtdlvuZ_zDNE/edit?usp=share_link"",""พัทลุง!I541"")+IMPORTRANGE(""https://docs.google.com/spreadsheets/d/1o7UZe4_OqlqtLDHrj01Z2YFRSZDf1DMy1n3XViHaxRc/edit?usp=share_link"",""ภูเก็ต!I541"")+IMPORTRANGE(""https://docs.google.c"&amp;"om/spreadsheets/d/1ctPm1vUzcUCPuOj9-eoHUD85PqINFqUB0TjdSWmR5-c/edit?usp=share_link"",""ยะลา!I541"")+IMPORTRANGE(""https://docs.google.com/spreadsheets/d/1YiDIE7Klmt8osgdapRqYWNr7iPGFSsiJqq46S7PYRE0/edit?usp=share_link"",""ระนอง!I541"")+IMPORTRANGE(""https"&amp;"://docs.google.com/spreadsheets/d/16o_4B-V7AWw_6E93bSpXj_XxVv1oVQctk-B6z1dNEWU/edit?usp=share_link"",""สงขลา!I541"")+IMPORTRANGE(""https://docs.google.com/spreadsheets/d/16cywr71Fj4fA5OGRHsZh30ZG2gwJhMAQv69oVBzYHv0/edit?usp=share_link"",""สตูล!I541"")+IMP"&amp;"ORTRANGE(""https://docs.google.com/spreadsheets/d/1vO9Sws6kMtrVtyvrAJptINXjK8TFBoX9xLYOVK_C8bQ/edit?usp=share_link"",""สุราษฎร์ธานี!I541"")"),30)</f>
        <v>30</v>
      </c>
      <c r="J541" s="182">
        <f ca="1">IFERROR(__xludf.DUMMYFUNCTION("IMPORTRANGE(""https://docs.google.com/spreadsheets/d/1kC41EOXpGBFOW658Fs3oD8beYlym0-zO54WY-2Qnp9I/edit?usp=share_link"",""กระบี่!J541"")
+IMPORTRANGE(""https://docs.google.com/spreadsheets/d/1FbzMZY_f3MDiEuK7RpCQKrilJ_kpX0Wm7QBZ1L7EjIU/edit?usp=share_link"&amp;""",""ชุมพร!J541"")+IMPORTRANGE(""https://docs.google.com/spreadsheets/d/1v5sN-00LrXuhBxw4dkh2GrG_z4l5oAqOdJRBCsUyMaM/edit?usp=share_link"",""ตรัง!J541"")+IMPORTRANGE(""https://docs.google.com/spreadsheets/d/1T5rRTzFc79aSIvqnzkZNvwPstq829QYz_xALlO1Z0s8/edi"&amp;"t?usp=share_link"",""นครศรีธรรมราช!J541"")+IMPORTRANGE(""https://docs.google.com/spreadsheets/d/1BeghqumK0IvCmRd2QOy6_afsZq7ZtAGrSnVJy2u7WmY/edit?usp=share_link"",""นราธิวาส!J541"")+IMPORTRANGE(""https://docs.google.com/spreadsheets/d/1IwnW3-jjRf74MCLW-6P"&amp;"iFwMUffRQXZwZA7YM609NmRc/edit?usp=share_link"",""ปัตตานี!J541"")+IMPORTRANGE(""https://docs.google.com/spreadsheets/d/1vl4QWbWdFruual5o_wdo6ZSqXZ_it806oja4CctTLKs/edit?usp=share_link"",""พังงา!J541"")+IMPORTRANGE(""https://docs.google.com/spreadsheets/d/1"&amp;"b6QssHQp2FoAPSMKHOy273KNzAomaIKhtdlvuZ_zDNE/edit?usp=share_link"",""พัทลุง!J541"")+IMPORTRANGE(""https://docs.google.com/spreadsheets/d/1o7UZe4_OqlqtLDHrj01Z2YFRSZDf1DMy1n3XViHaxRc/edit?usp=share_link"",""ภูเก็ต!J541"")+IMPORTRANGE(""https://docs.google.c"&amp;"om/spreadsheets/d/1ctPm1vUzcUCPuOj9-eoHUD85PqINFqUB0TjdSWmR5-c/edit?usp=share_link"",""ยะลา!J541"")+IMPORTRANGE(""https://docs.google.com/spreadsheets/d/1YiDIE7Klmt8osgdapRqYWNr7iPGFSsiJqq46S7PYRE0/edit?usp=share_link"",""ระนอง!J541"")+IMPORTRANGE(""https"&amp;"://docs.google.com/spreadsheets/d/16o_4B-V7AWw_6E93bSpXj_XxVv1oVQctk-B6z1dNEWU/edit?usp=share_link"",""สงขลา!J541"")+IMPORTRANGE(""https://docs.google.com/spreadsheets/d/16cywr71Fj4fA5OGRHsZh30ZG2gwJhMAQv69oVBzYHv0/edit?usp=share_link"",""สตูล!J541"")+IMP"&amp;"ORTRANGE(""https://docs.google.com/spreadsheets/d/1vO9Sws6kMtrVtyvrAJptINXjK8TFBoX9xLYOVK_C8bQ/edit?usp=share_link"",""สุราษฎร์ธานี!J541"")"),30)</f>
        <v>30</v>
      </c>
      <c r="K541" s="37">
        <f t="shared" ca="1" si="269"/>
        <v>100</v>
      </c>
      <c r="L541" s="37"/>
      <c r="M541" s="37"/>
      <c r="N541" s="37"/>
      <c r="O541" s="37"/>
      <c r="P541" s="37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20.25" customHeight="1">
      <c r="A542" s="573"/>
      <c r="B542" s="574"/>
      <c r="C542" s="575"/>
      <c r="D542" s="576" t="s">
        <v>59</v>
      </c>
      <c r="E542" s="575"/>
      <c r="F542" s="575"/>
      <c r="G542" s="188"/>
      <c r="H542" s="35" t="s">
        <v>35</v>
      </c>
      <c r="I542" s="36">
        <f ca="1">IFERROR(__xludf.DUMMYFUNCTION("IMPORTRANGE(""https://docs.google.com/spreadsheets/d/1kC41EOXpGBFOW658Fs3oD8beYlym0-zO54WY-2Qnp9I/edit?usp=share_link"",""กระบี่!I542"")
+IMPORTRANGE(""https://docs.google.com/spreadsheets/d/1FbzMZY_f3MDiEuK7RpCQKrilJ_kpX0Wm7QBZ1L7EjIU/edit?usp=share_link"&amp;""",""ชุมพร!I542"")+IMPORTRANGE(""https://docs.google.com/spreadsheets/d/1v5sN-00LrXuhBxw4dkh2GrG_z4l5oAqOdJRBCsUyMaM/edit?usp=share_link"",""ตรัง!I542"")+IMPORTRANGE(""https://docs.google.com/spreadsheets/d/1T5rRTzFc79aSIvqnzkZNvwPstq829QYz_xALlO1Z0s8/edi"&amp;"t?usp=share_link"",""นครศรีธรรมราช!I542"")+IMPORTRANGE(""https://docs.google.com/spreadsheets/d/1BeghqumK0IvCmRd2QOy6_afsZq7ZtAGrSnVJy2u7WmY/edit?usp=share_link"",""นราธิวาส!I542"")+IMPORTRANGE(""https://docs.google.com/spreadsheets/d/1IwnW3-jjRf74MCLW-6P"&amp;"iFwMUffRQXZwZA7YM609NmRc/edit?usp=share_link"",""ปัตตานี!I542"")+IMPORTRANGE(""https://docs.google.com/spreadsheets/d/1vl4QWbWdFruual5o_wdo6ZSqXZ_it806oja4CctTLKs/edit?usp=share_link"",""พังงา!I542"")+IMPORTRANGE(""https://docs.google.com/spreadsheets/d/1"&amp;"b6QssHQp2FoAPSMKHOy273KNzAomaIKhtdlvuZ_zDNE/edit?usp=share_link"",""พัทลุง!I542"")+IMPORTRANGE(""https://docs.google.com/spreadsheets/d/1o7UZe4_OqlqtLDHrj01Z2YFRSZDf1DMy1n3XViHaxRc/edit?usp=share_link"",""ภูเก็ต!I542"")+IMPORTRANGE(""https://docs.google.c"&amp;"om/spreadsheets/d/1ctPm1vUzcUCPuOj9-eoHUD85PqINFqUB0TjdSWmR5-c/edit?usp=share_link"",""ยะลา!I542"")+IMPORTRANGE(""https://docs.google.com/spreadsheets/d/1YiDIE7Klmt8osgdapRqYWNr7iPGFSsiJqq46S7PYRE0/edit?usp=share_link"",""ระนอง!I542"")+IMPORTRANGE(""https"&amp;"://docs.google.com/spreadsheets/d/16o_4B-V7AWw_6E93bSpXj_XxVv1oVQctk-B6z1dNEWU/edit?usp=share_link"",""สงขลา!I542"")+IMPORTRANGE(""https://docs.google.com/spreadsheets/d/16cywr71Fj4fA5OGRHsZh30ZG2gwJhMAQv69oVBzYHv0/edit?usp=share_link"",""สตูล!I542"")+IMP"&amp;"ORTRANGE(""https://docs.google.com/spreadsheets/d/1vO9Sws6kMtrVtyvrAJptINXjK8TFBoX9xLYOVK_C8bQ/edit?usp=share_link"",""สุราษฎร์ธานี!I542"")"),190)</f>
        <v>190</v>
      </c>
      <c r="J542" s="182">
        <f ca="1">IFERROR(__xludf.DUMMYFUNCTION("IMPORTRANGE(""https://docs.google.com/spreadsheets/d/1kC41EOXpGBFOW658Fs3oD8beYlym0-zO54WY-2Qnp9I/edit?usp=share_link"",""กระบี่!J542"")
+IMPORTRANGE(""https://docs.google.com/spreadsheets/d/1FbzMZY_f3MDiEuK7RpCQKrilJ_kpX0Wm7QBZ1L7EjIU/edit?usp=share_link"&amp;""",""ชุมพร!J542"")+IMPORTRANGE(""https://docs.google.com/spreadsheets/d/1v5sN-00LrXuhBxw4dkh2GrG_z4l5oAqOdJRBCsUyMaM/edit?usp=share_link"",""ตรัง!J542"")+IMPORTRANGE(""https://docs.google.com/spreadsheets/d/1T5rRTzFc79aSIvqnzkZNvwPstq829QYz_xALlO1Z0s8/edi"&amp;"t?usp=share_link"",""นครศรีธรรมราช!J542"")+IMPORTRANGE(""https://docs.google.com/spreadsheets/d/1BeghqumK0IvCmRd2QOy6_afsZq7ZtAGrSnVJy2u7WmY/edit?usp=share_link"",""นราธิวาส!J542"")+IMPORTRANGE(""https://docs.google.com/spreadsheets/d/1IwnW3-jjRf74MCLW-6P"&amp;"iFwMUffRQXZwZA7YM609NmRc/edit?usp=share_link"",""ปัตตานี!J542"")+IMPORTRANGE(""https://docs.google.com/spreadsheets/d/1vl4QWbWdFruual5o_wdo6ZSqXZ_it806oja4CctTLKs/edit?usp=share_link"",""พังงา!J542"")+IMPORTRANGE(""https://docs.google.com/spreadsheets/d/1"&amp;"b6QssHQp2FoAPSMKHOy273KNzAomaIKhtdlvuZ_zDNE/edit?usp=share_link"",""พัทลุง!J542"")+IMPORTRANGE(""https://docs.google.com/spreadsheets/d/1o7UZe4_OqlqtLDHrj01Z2YFRSZDf1DMy1n3XViHaxRc/edit?usp=share_link"",""ภูเก็ต!J542"")+IMPORTRANGE(""https://docs.google.c"&amp;"om/spreadsheets/d/1ctPm1vUzcUCPuOj9-eoHUD85PqINFqUB0TjdSWmR5-c/edit?usp=share_link"",""ยะลา!J542"")+IMPORTRANGE(""https://docs.google.com/spreadsheets/d/1YiDIE7Klmt8osgdapRqYWNr7iPGFSsiJqq46S7PYRE0/edit?usp=share_link"",""ระนอง!J542"")+IMPORTRANGE(""https"&amp;"://docs.google.com/spreadsheets/d/16o_4B-V7AWw_6E93bSpXj_XxVv1oVQctk-B6z1dNEWU/edit?usp=share_link"",""สงขลา!J542"")+IMPORTRANGE(""https://docs.google.com/spreadsheets/d/16cywr71Fj4fA5OGRHsZh30ZG2gwJhMAQv69oVBzYHv0/edit?usp=share_link"",""สตูล!J542"")+IMP"&amp;"ORTRANGE(""https://docs.google.com/spreadsheets/d/1vO9Sws6kMtrVtyvrAJptINXjK8TFBoX9xLYOVK_C8bQ/edit?usp=share_link"",""สุราษฎร์ธานี!J542"")"),190)</f>
        <v>190</v>
      </c>
      <c r="K542" s="37">
        <f t="shared" ca="1" si="269"/>
        <v>100</v>
      </c>
      <c r="L542" s="37"/>
      <c r="M542" s="37"/>
      <c r="N542" s="37"/>
      <c r="O542" s="37"/>
      <c r="P542" s="37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20.25" customHeight="1">
      <c r="A543" s="663">
        <v>6</v>
      </c>
      <c r="B543" s="684" t="s">
        <v>232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70">I559</f>
        <v>380545.78830000001</v>
      </c>
      <c r="J543" s="686">
        <f t="shared" ca="1" si="270"/>
        <v>380553.31079999992</v>
      </c>
      <c r="K543" s="687">
        <f t="shared" ca="1" si="269"/>
        <v>100.00197676606368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20.25" customHeight="1">
      <c r="A544" s="688"/>
      <c r="B544" s="689"/>
      <c r="C544" s="689" t="s">
        <v>16</v>
      </c>
      <c r="D544" s="889" t="s">
        <v>17</v>
      </c>
      <c r="E544" s="890"/>
      <c r="F544" s="890"/>
      <c r="G544" s="690"/>
      <c r="H544" s="274" t="s">
        <v>12</v>
      </c>
      <c r="I544" s="152"/>
      <c r="J544" s="152"/>
      <c r="K544" s="153"/>
      <c r="L544" s="154">
        <f t="shared" ref="L544:N544" ca="1" si="271">L545+L546</f>
        <v>5278983</v>
      </c>
      <c r="M544" s="154">
        <f t="shared" ca="1" si="271"/>
        <v>5891135.8099999996</v>
      </c>
      <c r="N544" s="154">
        <f t="shared" ca="1" si="271"/>
        <v>5891135.8100000005</v>
      </c>
      <c r="O544" s="154">
        <f t="shared" ref="O544:O549" ca="1" si="272">IF(L544&gt;0,N544*100/L544,0)</f>
        <v>111.59603677450751</v>
      </c>
      <c r="P544" s="154">
        <f t="shared" ref="P544:P549" ca="1" si="273">IF(M544&gt;0,N544*100/M544,0)</f>
        <v>100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20.25" hidden="1" customHeight="1">
      <c r="A545" s="598"/>
      <c r="B545" s="599"/>
      <c r="C545" s="599"/>
      <c r="D545" s="599"/>
      <c r="E545" s="601" t="s">
        <v>184</v>
      </c>
      <c r="F545" s="599"/>
      <c r="G545" s="602"/>
      <c r="H545" s="164" t="s">
        <v>12</v>
      </c>
      <c r="I545" s="43"/>
      <c r="J545" s="43"/>
      <c r="K545" s="44"/>
      <c r="L545" s="44">
        <f t="shared" ref="L545:L546" si="274">L548+L556</f>
        <v>0</v>
      </c>
      <c r="M545" s="44">
        <f t="shared" ref="M545:N545" si="275">M548+M555</f>
        <v>0</v>
      </c>
      <c r="N545" s="44">
        <f t="shared" si="275"/>
        <v>0</v>
      </c>
      <c r="O545" s="44">
        <f t="shared" si="272"/>
        <v>0</v>
      </c>
      <c r="P545" s="44">
        <f t="shared" si="273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20.25" hidden="1" customHeight="1">
      <c r="A546" s="598"/>
      <c r="B546" s="604"/>
      <c r="C546" s="599"/>
      <c r="D546" s="599"/>
      <c r="E546" s="601" t="s">
        <v>185</v>
      </c>
      <c r="F546" s="599"/>
      <c r="G546" s="602"/>
      <c r="H546" s="164" t="s">
        <v>12</v>
      </c>
      <c r="I546" s="43"/>
      <c r="J546" s="43"/>
      <c r="K546" s="44"/>
      <c r="L546" s="44">
        <f t="shared" ca="1" si="274"/>
        <v>5278983</v>
      </c>
      <c r="M546" s="44">
        <f t="shared" ref="M546:N546" ca="1" si="276">M549+M556</f>
        <v>5891135.8099999996</v>
      </c>
      <c r="N546" s="44">
        <f t="shared" ca="1" si="276"/>
        <v>5891135.8100000005</v>
      </c>
      <c r="O546" s="44">
        <f t="shared" ca="1" si="272"/>
        <v>111.59603677450751</v>
      </c>
      <c r="P546" s="44">
        <f t="shared" ca="1" si="273"/>
        <v>100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20.25" customHeight="1">
      <c r="A547" s="596"/>
      <c r="B547" s="574"/>
      <c r="C547" s="575"/>
      <c r="D547" s="605" t="s">
        <v>20</v>
      </c>
      <c r="E547" s="575"/>
      <c r="F547" s="575"/>
      <c r="G547" s="188"/>
      <c r="H547" s="160" t="s">
        <v>12</v>
      </c>
      <c r="I547" s="161"/>
      <c r="J547" s="161"/>
      <c r="K547" s="162"/>
      <c r="L547" s="37">
        <f t="shared" ref="L547:N547" ca="1" si="277">L548+L549</f>
        <v>5278983</v>
      </c>
      <c r="M547" s="37">
        <f t="shared" ca="1" si="277"/>
        <v>5891135.8099999996</v>
      </c>
      <c r="N547" s="37">
        <f t="shared" ca="1" si="277"/>
        <v>5891135.8100000005</v>
      </c>
      <c r="O547" s="37">
        <f t="shared" ca="1" si="272"/>
        <v>111.59603677450751</v>
      </c>
      <c r="P547" s="37">
        <f t="shared" ca="1" si="273"/>
        <v>100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20.25" hidden="1" customHeight="1">
      <c r="A548" s="598"/>
      <c r="B548" s="604"/>
      <c r="C548" s="599"/>
      <c r="D548" s="600"/>
      <c r="E548" s="601" t="s">
        <v>184</v>
      </c>
      <c r="F548" s="599"/>
      <c r="G548" s="602"/>
      <c r="H548" s="164" t="s">
        <v>12</v>
      </c>
      <c r="I548" s="43"/>
      <c r="J548" s="43"/>
      <c r="K548" s="44"/>
      <c r="L548" s="92">
        <v>0</v>
      </c>
      <c r="M548" s="92">
        <v>0</v>
      </c>
      <c r="N548" s="92">
        <v>0</v>
      </c>
      <c r="O548" s="44">
        <f t="shared" si="272"/>
        <v>0</v>
      </c>
      <c r="P548" s="44">
        <f t="shared" si="273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20.25" hidden="1" customHeight="1">
      <c r="A549" s="598"/>
      <c r="B549" s="604"/>
      <c r="C549" s="599"/>
      <c r="D549" s="600"/>
      <c r="E549" s="601" t="s">
        <v>185</v>
      </c>
      <c r="F549" s="599"/>
      <c r="G549" s="602"/>
      <c r="H549" s="164" t="s">
        <v>12</v>
      </c>
      <c r="I549" s="43"/>
      <c r="J549" s="43"/>
      <c r="K549" s="44"/>
      <c r="L549" s="44">
        <f ca="1">IFERROR(__xludf.DUMMYFUNCTION("IMPORTRANGE(""https://docs.google.com/spreadsheets/d/1kC41EOXpGBFOW658Fs3oD8beYlym0-zO54WY-2Qnp9I/edit?usp=share_link"",""กระบี่!L549"")
+IMPORTRANGE(""https://docs.google.com/spreadsheets/d/1FbzMZY_f3MDiEuK7RpCQKrilJ_kpX0Wm7QBZ1L7EjIU/edit?usp=share_link"&amp;""",""ชุมพร!L549"")+IMPORTRANGE(""https://docs.google.com/spreadsheets/d/1v5sN-00LrXuhBxw4dkh2GrG_z4l5oAqOdJRBCsUyMaM/edit?usp=share_link"",""ตรัง!L549"")+IMPORTRANGE(""https://docs.google.com/spreadsheets/d/1T5rRTzFc79aSIvqnzkZNvwPstq829QYz_xALlO1Z0s8/edi"&amp;"t?usp=share_link"",""นครศรีธรรมราช!L549"")+IMPORTRANGE(""https://docs.google.com/spreadsheets/d/1BeghqumK0IvCmRd2QOy6_afsZq7ZtAGrSnVJy2u7WmY/edit?usp=share_link"",""นราธิวาส!L549"")+IMPORTRANGE(""https://docs.google.com/spreadsheets/d/1IwnW3-jjRf74MCLW-6P"&amp;"iFwMUffRQXZwZA7YM609NmRc/edit?usp=share_link"",""ปัตตานี!L549"")+IMPORTRANGE(""https://docs.google.com/spreadsheets/d/1vl4QWbWdFruual5o_wdo6ZSqXZ_it806oja4CctTLKs/edit?usp=share_link"",""พังงา!L549"")+IMPORTRANGE(""https://docs.google.com/spreadsheets/d/1"&amp;"b6QssHQp2FoAPSMKHOy273KNzAomaIKhtdlvuZ_zDNE/edit?usp=share_link"",""พัทลุง!L549"")+IMPORTRANGE(""https://docs.google.com/spreadsheets/d/1o7UZe4_OqlqtLDHrj01Z2YFRSZDf1DMy1n3XViHaxRc/edit?usp=share_link"",""ภูเก็ต!L549"")+IMPORTRANGE(""https://docs.google.c"&amp;"om/spreadsheets/d/1ctPm1vUzcUCPuOj9-eoHUD85PqINFqUB0TjdSWmR5-c/edit?usp=share_link"",""ยะลา!L549"")+IMPORTRANGE(""https://docs.google.com/spreadsheets/d/1YiDIE7Klmt8osgdapRqYWNr7iPGFSsiJqq46S7PYRE0/edit?usp=share_link"",""ระนอง!L549"")+IMPORTRANGE(""https"&amp;"://docs.google.com/spreadsheets/d/16o_4B-V7AWw_6E93bSpXj_XxVv1oVQctk-B6z1dNEWU/edit?usp=share_link"",""สงขลา!L549"")+IMPORTRANGE(""https://docs.google.com/spreadsheets/d/16cywr71Fj4fA5OGRHsZh30ZG2gwJhMAQv69oVBzYHv0/edit?usp=share_link"",""สตูล!L549"")+IMP"&amp;"ORTRANGE(""https://docs.google.com/spreadsheets/d/1vO9Sws6kMtrVtyvrAJptINXjK8TFBoX9xLYOVK_C8bQ/edit?usp=share_link"",""สุราษฎร์ธานี!L549"")"),5278983)</f>
        <v>5278983</v>
      </c>
      <c r="M549" s="92">
        <f ca="1">IFERROR(__xludf.DUMMYFUNCTION("IMPORTRANGE(""https://docs.google.com/spreadsheets/d/1kC41EOXpGBFOW658Fs3oD8beYlym0-zO54WY-2Qnp9I/edit?usp=share_link"",""กระบี่!M549"")
+IMPORTRANGE(""https://docs.google.com/spreadsheets/d/1FbzMZY_f3MDiEuK7RpCQKrilJ_kpX0Wm7QBZ1L7EjIU/edit?usp=share_link"&amp;""",""ชุมพร!M549"")+IMPORTRANGE(""https://docs.google.com/spreadsheets/d/1v5sN-00LrXuhBxw4dkh2GrG_z4l5oAqOdJRBCsUyMaM/edit?usp=share_link"",""ตรัง!M549"")+IMPORTRANGE(""https://docs.google.com/spreadsheets/d/1T5rRTzFc79aSIvqnzkZNvwPstq829QYz_xALlO1Z0s8/edi"&amp;"t?usp=share_link"",""นครศรีธรรมราช!M549"")+IMPORTRANGE(""https://docs.google.com/spreadsheets/d/1BeghqumK0IvCmRd2QOy6_afsZq7ZtAGrSnVJy2u7WmY/edit?usp=share_link"",""นราธิวาส!M549"")+IMPORTRANGE(""https://docs.google.com/spreadsheets/d/1IwnW3-jjRf74MCLW-6P"&amp;"iFwMUffRQXZwZA7YM609NmRc/edit?usp=share_link"",""ปัตตานี!M549"")+IMPORTRANGE(""https://docs.google.com/spreadsheets/d/1vl4QWbWdFruual5o_wdo6ZSqXZ_it806oja4CctTLKs/edit?usp=share_link"",""พังงา!M549"")+IMPORTRANGE(""https://docs.google.com/spreadsheets/d/1"&amp;"b6QssHQp2FoAPSMKHOy273KNzAomaIKhtdlvuZ_zDNE/edit?usp=share_link"",""พัทลุง!M549"")+IMPORTRANGE(""https://docs.google.com/spreadsheets/d/1o7UZe4_OqlqtLDHrj01Z2YFRSZDf1DMy1n3XViHaxRc/edit?usp=share_link"",""ภูเก็ต!M549"")+IMPORTRANGE(""https://docs.google.c"&amp;"om/spreadsheets/d/1ctPm1vUzcUCPuOj9-eoHUD85PqINFqUB0TjdSWmR5-c/edit?usp=share_link"",""ยะลา!M549"")+IMPORTRANGE(""https://docs.google.com/spreadsheets/d/1YiDIE7Klmt8osgdapRqYWNr7iPGFSsiJqq46S7PYRE0/edit?usp=share_link"",""ระนอง!M549"")+IMPORTRANGE(""https"&amp;"://docs.google.com/spreadsheets/d/16o_4B-V7AWw_6E93bSpXj_XxVv1oVQctk-B6z1dNEWU/edit?usp=share_link"",""สงขลา!M549"")+IMPORTRANGE(""https://docs.google.com/spreadsheets/d/16cywr71Fj4fA5OGRHsZh30ZG2gwJhMAQv69oVBzYHv0/edit?usp=share_link"",""สตูล!M549"")+IMP"&amp;"ORTRANGE(""https://docs.google.com/spreadsheets/d/1vO9Sws6kMtrVtyvrAJptINXjK8TFBoX9xLYOVK_C8bQ/edit?usp=share_link"",""สุราษฎร์ธานี!M549"")"),5891135.81)</f>
        <v>5891135.8099999996</v>
      </c>
      <c r="N549" s="44">
        <f ca="1">N550+N551+N552+N553+N554</f>
        <v>5891135.8100000005</v>
      </c>
      <c r="O549" s="44">
        <f t="shared" ca="1" si="272"/>
        <v>111.59603677450751</v>
      </c>
      <c r="P549" s="44">
        <f t="shared" ca="1" si="273"/>
        <v>100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20.25" customHeight="1">
      <c r="A550" s="573"/>
      <c r="B550" s="574"/>
      <c r="C550" s="575"/>
      <c r="D550" s="575"/>
      <c r="E550" s="575"/>
      <c r="F550" s="576" t="s">
        <v>186</v>
      </c>
      <c r="G550" s="188"/>
      <c r="H550" s="160" t="s">
        <v>12</v>
      </c>
      <c r="I550" s="36"/>
      <c r="J550" s="36"/>
      <c r="K550" s="37"/>
      <c r="L550" s="37"/>
      <c r="M550" s="37"/>
      <c r="N550" s="282">
        <f ca="1">IFERROR(__xludf.DUMMYFUNCTION("IMPORTRANGE(""https://docs.google.com/spreadsheets/d/1kC41EOXpGBFOW658Fs3oD8beYlym0-zO54WY-2Qnp9I/edit?usp=share_link"",""กระบี่!N550"")
+IMPORTRANGE(""https://docs.google.com/spreadsheets/d/1FbzMZY_f3MDiEuK7RpCQKrilJ_kpX0Wm7QBZ1L7EjIU/edit?usp=share_link"&amp;""",""ชุมพร!N550"")+IMPORTRANGE(""https://docs.google.com/spreadsheets/d/1v5sN-00LrXuhBxw4dkh2GrG_z4l5oAqOdJRBCsUyMaM/edit?usp=share_link"",""ตรัง!N550"")+IMPORTRANGE(""https://docs.google.com/spreadsheets/d/1T5rRTzFc79aSIvqnzkZNvwPstq829QYz_xALlO1Z0s8/edi"&amp;"t?usp=share_link"",""นครศรีธรรมราช!N550"")+IMPORTRANGE(""https://docs.google.com/spreadsheets/d/1BeghqumK0IvCmRd2QOy6_afsZq7ZtAGrSnVJy2u7WmY/edit?usp=share_link"",""นราธิวาส!N550"")+IMPORTRANGE(""https://docs.google.com/spreadsheets/d/1IwnW3-jjRf74MCLW-6P"&amp;"iFwMUffRQXZwZA7YM609NmRc/edit?usp=share_link"",""ปัตตานี!N550"")+IMPORTRANGE(""https://docs.google.com/spreadsheets/d/1vl4QWbWdFruual5o_wdo6ZSqXZ_it806oja4CctTLKs/edit?usp=share_link"",""พังงา!N550"")+IMPORTRANGE(""https://docs.google.com/spreadsheets/d/1"&amp;"b6QssHQp2FoAPSMKHOy273KNzAomaIKhtdlvuZ_zDNE/edit?usp=share_link"",""พัทลุง!N550"")+IMPORTRANGE(""https://docs.google.com/spreadsheets/d/1o7UZe4_OqlqtLDHrj01Z2YFRSZDf1DMy1n3XViHaxRc/edit?usp=share_link"",""ภูเก็ต!N550"")+IMPORTRANGE(""https://docs.google.c"&amp;"om/spreadsheets/d/1ctPm1vUzcUCPuOj9-eoHUD85PqINFqUB0TjdSWmR5-c/edit?usp=share_link"",""ยะลา!N550"")+IMPORTRANGE(""https://docs.google.com/spreadsheets/d/1YiDIE7Klmt8osgdapRqYWNr7iPGFSsiJqq46S7PYRE0/edit?usp=share_link"",""ระนอง!N550"")+IMPORTRANGE(""https"&amp;"://docs.google.com/spreadsheets/d/16o_4B-V7AWw_6E93bSpXj_XxVv1oVQctk-B6z1dNEWU/edit?usp=share_link"",""สงขลา!N550"")+IMPORTRANGE(""https://docs.google.com/spreadsheets/d/16cywr71Fj4fA5OGRHsZh30ZG2gwJhMAQv69oVBzYHv0/edit?usp=share_link"",""สตูล!N550"")+IMP"&amp;"ORTRANGE(""https://docs.google.com/spreadsheets/d/1vO9Sws6kMtrVtyvrAJptINXjK8TFBoX9xLYOVK_C8bQ/edit?usp=share_link"",""สุราษฎร์ธานี!N550"")"),25642.5)</f>
        <v>25642.5</v>
      </c>
      <c r="O550" s="37"/>
      <c r="P550" s="37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20.25" customHeight="1">
      <c r="A551" s="573"/>
      <c r="B551" s="574"/>
      <c r="C551" s="574"/>
      <c r="D551" s="574"/>
      <c r="E551" s="575"/>
      <c r="F551" s="576" t="s">
        <v>187</v>
      </c>
      <c r="G551" s="188"/>
      <c r="H551" s="160" t="s">
        <v>12</v>
      </c>
      <c r="I551" s="36"/>
      <c r="J551" s="36"/>
      <c r="K551" s="37"/>
      <c r="L551" s="37"/>
      <c r="M551" s="37"/>
      <c r="N551" s="282">
        <f ca="1">IFERROR(__xludf.DUMMYFUNCTION("IMPORTRANGE(""https://docs.google.com/spreadsheets/d/1kC41EOXpGBFOW658Fs3oD8beYlym0-zO54WY-2Qnp9I/edit?usp=share_link"",""กระบี่!N551"")
+IMPORTRANGE(""https://docs.google.com/spreadsheets/d/1FbzMZY_f3MDiEuK7RpCQKrilJ_kpX0Wm7QBZ1L7EjIU/edit?usp=share_link"&amp;""",""ชุมพร!N551"")+IMPORTRANGE(""https://docs.google.com/spreadsheets/d/1v5sN-00LrXuhBxw4dkh2GrG_z4l5oAqOdJRBCsUyMaM/edit?usp=share_link"",""ตรัง!N551"")+IMPORTRANGE(""https://docs.google.com/spreadsheets/d/1T5rRTzFc79aSIvqnzkZNvwPstq829QYz_xALlO1Z0s8/edi"&amp;"t?usp=share_link"",""นครศรีธรรมราช!N551"")+IMPORTRANGE(""https://docs.google.com/spreadsheets/d/1BeghqumK0IvCmRd2QOy6_afsZq7ZtAGrSnVJy2u7WmY/edit?usp=share_link"",""นราธิวาส!N551"")+IMPORTRANGE(""https://docs.google.com/spreadsheets/d/1IwnW3-jjRf74MCLW-6P"&amp;"iFwMUffRQXZwZA7YM609NmRc/edit?usp=share_link"",""ปัตตานี!N551"")+IMPORTRANGE(""https://docs.google.com/spreadsheets/d/1vl4QWbWdFruual5o_wdo6ZSqXZ_it806oja4CctTLKs/edit?usp=share_link"",""พังงา!N551"")+IMPORTRANGE(""https://docs.google.com/spreadsheets/d/1"&amp;"b6QssHQp2FoAPSMKHOy273KNzAomaIKhtdlvuZ_zDNE/edit?usp=share_link"",""พัทลุง!N551"")+IMPORTRANGE(""https://docs.google.com/spreadsheets/d/1o7UZe4_OqlqtLDHrj01Z2YFRSZDf1DMy1n3XViHaxRc/edit?usp=share_link"",""ภูเก็ต!N551"")+IMPORTRANGE(""https://docs.google.c"&amp;"om/spreadsheets/d/1ctPm1vUzcUCPuOj9-eoHUD85PqINFqUB0TjdSWmR5-c/edit?usp=share_link"",""ยะลา!N551"")+IMPORTRANGE(""https://docs.google.com/spreadsheets/d/1YiDIE7Klmt8osgdapRqYWNr7iPGFSsiJqq46S7PYRE0/edit?usp=share_link"",""ระนอง!N551"")+IMPORTRANGE(""https"&amp;"://docs.google.com/spreadsheets/d/16o_4B-V7AWw_6E93bSpXj_XxVv1oVQctk-B6z1dNEWU/edit?usp=share_link"",""สงขลา!N551"")+IMPORTRANGE(""https://docs.google.com/spreadsheets/d/16cywr71Fj4fA5OGRHsZh30ZG2gwJhMAQv69oVBzYHv0/edit?usp=share_link"",""สตูล!N551"")+IMP"&amp;"ORTRANGE(""https://docs.google.com/spreadsheets/d/1vO9Sws6kMtrVtyvrAJptINXjK8TFBoX9xLYOVK_C8bQ/edit?usp=share_link"",""สุราษฎร์ธานี!N551"")"),0)</f>
        <v>0</v>
      </c>
      <c r="O551" s="37"/>
      <c r="P551" s="37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20.25" customHeight="1">
      <c r="A552" s="573"/>
      <c r="B552" s="574"/>
      <c r="C552" s="575"/>
      <c r="D552" s="575"/>
      <c r="E552" s="575"/>
      <c r="F552" s="576" t="s">
        <v>188</v>
      </c>
      <c r="G552" s="188"/>
      <c r="H552" s="160" t="s">
        <v>12</v>
      </c>
      <c r="I552" s="36"/>
      <c r="J552" s="36"/>
      <c r="K552" s="37"/>
      <c r="L552" s="37"/>
      <c r="M552" s="37"/>
      <c r="N552" s="282">
        <f ca="1">IFERROR(__xludf.DUMMYFUNCTION("IMPORTRANGE(""https://docs.google.com/spreadsheets/d/1kC41EOXpGBFOW658Fs3oD8beYlym0-zO54WY-2Qnp9I/edit?usp=share_link"",""กระบี่!N552"")
+IMPORTRANGE(""https://docs.google.com/spreadsheets/d/1FbzMZY_f3MDiEuK7RpCQKrilJ_kpX0Wm7QBZ1L7EjIU/edit?usp=share_link"&amp;""",""ชุมพร!N552"")+IMPORTRANGE(""https://docs.google.com/spreadsheets/d/1v5sN-00LrXuhBxw4dkh2GrG_z4l5oAqOdJRBCsUyMaM/edit?usp=share_link"",""ตรัง!N552"")+IMPORTRANGE(""https://docs.google.com/spreadsheets/d/1T5rRTzFc79aSIvqnzkZNvwPstq829QYz_xALlO1Z0s8/edi"&amp;"t?usp=share_link"",""นครศรีธรรมราช!N552"")+IMPORTRANGE(""https://docs.google.com/spreadsheets/d/1BeghqumK0IvCmRd2QOy6_afsZq7ZtAGrSnVJy2u7WmY/edit?usp=share_link"",""นราธิวาส!N552"")+IMPORTRANGE(""https://docs.google.com/spreadsheets/d/1IwnW3-jjRf74MCLW-6P"&amp;"iFwMUffRQXZwZA7YM609NmRc/edit?usp=share_link"",""ปัตตานี!N552"")+IMPORTRANGE(""https://docs.google.com/spreadsheets/d/1vl4QWbWdFruual5o_wdo6ZSqXZ_it806oja4CctTLKs/edit?usp=share_link"",""พังงา!N552"")+IMPORTRANGE(""https://docs.google.com/spreadsheets/d/1"&amp;"b6QssHQp2FoAPSMKHOy273KNzAomaIKhtdlvuZ_zDNE/edit?usp=share_link"",""พัทลุง!N552"")+IMPORTRANGE(""https://docs.google.com/spreadsheets/d/1o7UZe4_OqlqtLDHrj01Z2YFRSZDf1DMy1n3XViHaxRc/edit?usp=share_link"",""ภูเก็ต!N552"")+IMPORTRANGE(""https://docs.google.c"&amp;"om/spreadsheets/d/1ctPm1vUzcUCPuOj9-eoHUD85PqINFqUB0TjdSWmR5-c/edit?usp=share_link"",""ยะลา!N552"")+IMPORTRANGE(""https://docs.google.com/spreadsheets/d/1YiDIE7Klmt8osgdapRqYWNr7iPGFSsiJqq46S7PYRE0/edit?usp=share_link"",""ระนอง!N552"")+IMPORTRANGE(""https"&amp;"://docs.google.com/spreadsheets/d/16o_4B-V7AWw_6E93bSpXj_XxVv1oVQctk-B6z1dNEWU/edit?usp=share_link"",""สงขลา!N552"")+IMPORTRANGE(""https://docs.google.com/spreadsheets/d/16cywr71Fj4fA5OGRHsZh30ZG2gwJhMAQv69oVBzYHv0/edit?usp=share_link"",""สตูล!N552"")+IMP"&amp;"ORTRANGE(""https://docs.google.com/spreadsheets/d/1vO9Sws6kMtrVtyvrAJptINXjK8TFBoX9xLYOVK_C8bQ/edit?usp=share_link"",""สุราษฎร์ธานี!N552"")"),1678981.17)</f>
        <v>1678981.17</v>
      </c>
      <c r="O552" s="37"/>
      <c r="P552" s="37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20.25" customHeight="1">
      <c r="A553" s="573"/>
      <c r="B553" s="574"/>
      <c r="C553" s="574"/>
      <c r="D553" s="574"/>
      <c r="E553" s="575"/>
      <c r="F553" s="576" t="s">
        <v>189</v>
      </c>
      <c r="G553" s="188"/>
      <c r="H553" s="160" t="s">
        <v>12</v>
      </c>
      <c r="I553" s="36"/>
      <c r="J553" s="36"/>
      <c r="K553" s="37"/>
      <c r="L553" s="37"/>
      <c r="M553" s="37"/>
      <c r="N553" s="282">
        <f ca="1">IFERROR(__xludf.DUMMYFUNCTION("IMPORTRANGE(""https://docs.google.com/spreadsheets/d/1kC41EOXpGBFOW658Fs3oD8beYlym0-zO54WY-2Qnp9I/edit?usp=share_link"",""กระบี่!N553"")
+IMPORTRANGE(""https://docs.google.com/spreadsheets/d/1FbzMZY_f3MDiEuK7RpCQKrilJ_kpX0Wm7QBZ1L7EjIU/edit?usp=share_link"&amp;""",""ชุมพร!N553"")+IMPORTRANGE(""https://docs.google.com/spreadsheets/d/1v5sN-00LrXuhBxw4dkh2GrG_z4l5oAqOdJRBCsUyMaM/edit?usp=share_link"",""ตรัง!N553"")+IMPORTRANGE(""https://docs.google.com/spreadsheets/d/1T5rRTzFc79aSIvqnzkZNvwPstq829QYz_xALlO1Z0s8/edi"&amp;"t?usp=share_link"",""นครศรีธรรมราช!N553"")+IMPORTRANGE(""https://docs.google.com/spreadsheets/d/1BeghqumK0IvCmRd2QOy6_afsZq7ZtAGrSnVJy2u7WmY/edit?usp=share_link"",""นราธิวาส!N553"")+IMPORTRANGE(""https://docs.google.com/spreadsheets/d/1IwnW3-jjRf74MCLW-6P"&amp;"iFwMUffRQXZwZA7YM609NmRc/edit?usp=share_link"",""ปัตตานี!N553"")+IMPORTRANGE(""https://docs.google.com/spreadsheets/d/1vl4QWbWdFruual5o_wdo6ZSqXZ_it806oja4CctTLKs/edit?usp=share_link"",""พังงา!N553"")+IMPORTRANGE(""https://docs.google.com/spreadsheets/d/1"&amp;"b6QssHQp2FoAPSMKHOy273KNzAomaIKhtdlvuZ_zDNE/edit?usp=share_link"",""พัทลุง!N553"")+IMPORTRANGE(""https://docs.google.com/spreadsheets/d/1o7UZe4_OqlqtLDHrj01Z2YFRSZDf1DMy1n3XViHaxRc/edit?usp=share_link"",""ภูเก็ต!N553"")+IMPORTRANGE(""https://docs.google.c"&amp;"om/spreadsheets/d/1ctPm1vUzcUCPuOj9-eoHUD85PqINFqUB0TjdSWmR5-c/edit?usp=share_link"",""ยะลา!N553"")+IMPORTRANGE(""https://docs.google.com/spreadsheets/d/1YiDIE7Klmt8osgdapRqYWNr7iPGFSsiJqq46S7PYRE0/edit?usp=share_link"",""ระนอง!N553"")+IMPORTRANGE(""https"&amp;"://docs.google.com/spreadsheets/d/16o_4B-V7AWw_6E93bSpXj_XxVv1oVQctk-B6z1dNEWU/edit?usp=share_link"",""สงขลา!N553"")+IMPORTRANGE(""https://docs.google.com/spreadsheets/d/16cywr71Fj4fA5OGRHsZh30ZG2gwJhMAQv69oVBzYHv0/edit?usp=share_link"",""สตูล!N553"")+IMP"&amp;"ORTRANGE(""https://docs.google.com/spreadsheets/d/1vO9Sws6kMtrVtyvrAJptINXjK8TFBoX9xLYOVK_C8bQ/edit?usp=share_link"",""สุราษฎร์ธานี!N553"")"),3207869.14)</f>
        <v>3207869.14</v>
      </c>
      <c r="O553" s="37"/>
      <c r="P553" s="37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20.25" customHeight="1">
      <c r="A554" s="573"/>
      <c r="B554" s="574"/>
      <c r="C554" s="574"/>
      <c r="D554" s="574"/>
      <c r="E554" s="575"/>
      <c r="F554" s="576" t="s">
        <v>233</v>
      </c>
      <c r="G554" s="188"/>
      <c r="H554" s="160" t="s">
        <v>12</v>
      </c>
      <c r="I554" s="36"/>
      <c r="J554" s="36"/>
      <c r="K554" s="37"/>
      <c r="L554" s="37"/>
      <c r="M554" s="37"/>
      <c r="N554" s="282">
        <f ca="1">IFERROR(__xludf.DUMMYFUNCTION("IMPORTRANGE(""https://docs.google.com/spreadsheets/d/1kC41EOXpGBFOW658Fs3oD8beYlym0-zO54WY-2Qnp9I/edit?usp=share_link"",""กระบี่!N554"")
+IMPORTRANGE(""https://docs.google.com/spreadsheets/d/1FbzMZY_f3MDiEuK7RpCQKrilJ_kpX0Wm7QBZ1L7EjIU/edit?usp=share_link"&amp;""",""ชุมพร!N554"")+IMPORTRANGE(""https://docs.google.com/spreadsheets/d/1v5sN-00LrXuhBxw4dkh2GrG_z4l5oAqOdJRBCsUyMaM/edit?usp=share_link"",""ตรัง!N554"")+IMPORTRANGE(""https://docs.google.com/spreadsheets/d/1T5rRTzFc79aSIvqnzkZNvwPstq829QYz_xALlO1Z0s8/edi"&amp;"t?usp=share_link"",""นครศรีธรรมราช!N554"")+IMPORTRANGE(""https://docs.google.com/spreadsheets/d/1BeghqumK0IvCmRd2QOy6_afsZq7ZtAGrSnVJy2u7WmY/edit?usp=share_link"",""นราธิวาส!N554"")+IMPORTRANGE(""https://docs.google.com/spreadsheets/d/1IwnW3-jjRf74MCLW-6P"&amp;"iFwMUffRQXZwZA7YM609NmRc/edit?usp=share_link"",""ปัตตานี!N554"")+IMPORTRANGE(""https://docs.google.com/spreadsheets/d/1vl4QWbWdFruual5o_wdo6ZSqXZ_it806oja4CctTLKs/edit?usp=share_link"",""พังงา!N554"")+IMPORTRANGE(""https://docs.google.com/spreadsheets/d/1"&amp;"b6QssHQp2FoAPSMKHOy273KNzAomaIKhtdlvuZ_zDNE/edit?usp=share_link"",""พัทลุง!N554"")+IMPORTRANGE(""https://docs.google.com/spreadsheets/d/1o7UZe4_OqlqtLDHrj01Z2YFRSZDf1DMy1n3XViHaxRc/edit?usp=share_link"",""ภูเก็ต!N554"")+IMPORTRANGE(""https://docs.google.c"&amp;"om/spreadsheets/d/1ctPm1vUzcUCPuOj9-eoHUD85PqINFqUB0TjdSWmR5-c/edit?usp=share_link"",""ยะลา!N554"")+IMPORTRANGE(""https://docs.google.com/spreadsheets/d/1YiDIE7Klmt8osgdapRqYWNr7iPGFSsiJqq46S7PYRE0/edit?usp=share_link"",""ระนอง!N554"")+IMPORTRANGE(""https"&amp;"://docs.google.com/spreadsheets/d/16o_4B-V7AWw_6E93bSpXj_XxVv1oVQctk-B6z1dNEWU/edit?usp=share_link"",""สงขลา!N554"")+IMPORTRANGE(""https://docs.google.com/spreadsheets/d/16cywr71Fj4fA5OGRHsZh30ZG2gwJhMAQv69oVBzYHv0/edit?usp=share_link"",""สตูล!N554"")+IMP"&amp;"ORTRANGE(""https://docs.google.com/spreadsheets/d/1vO9Sws6kMtrVtyvrAJptINXjK8TFBoX9xLYOVK_C8bQ/edit?usp=share_link"",""สุราษฎร์ธานี!N554"")"),978643)</f>
        <v>978643</v>
      </c>
      <c r="O554" s="37"/>
      <c r="P554" s="37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20.25" customHeight="1">
      <c r="A555" s="596"/>
      <c r="B555" s="574"/>
      <c r="C555" s="574"/>
      <c r="D555" s="605" t="s">
        <v>21</v>
      </c>
      <c r="E555" s="575"/>
      <c r="F555" s="575"/>
      <c r="G555" s="188"/>
      <c r="H555" s="167" t="s">
        <v>12</v>
      </c>
      <c r="I555" s="161"/>
      <c r="J555" s="161"/>
      <c r="K555" s="162"/>
      <c r="L555" s="37">
        <f t="shared" ref="L555:N555" ca="1" si="278">L556+L557</f>
        <v>0</v>
      </c>
      <c r="M555" s="37">
        <f t="shared" si="278"/>
        <v>0</v>
      </c>
      <c r="N555" s="37">
        <f t="shared" si="278"/>
        <v>0</v>
      </c>
      <c r="O555" s="37">
        <f t="shared" ref="O555:O557" ca="1" si="279">IF(L555&gt;0,N555*100/L555,0)</f>
        <v>0</v>
      </c>
      <c r="P555" s="37">
        <f t="shared" ref="P555:P557" si="280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20.25" hidden="1" customHeight="1">
      <c r="A556" s="598"/>
      <c r="B556" s="604"/>
      <c r="C556" s="604"/>
      <c r="D556" s="599"/>
      <c r="E556" s="601" t="s">
        <v>18</v>
      </c>
      <c r="F556" s="599"/>
      <c r="G556" s="602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44">
        <f t="shared" si="279"/>
        <v>0</v>
      </c>
      <c r="P556" s="44">
        <f t="shared" si="280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20.25" hidden="1" customHeight="1">
      <c r="A557" s="598"/>
      <c r="B557" s="604"/>
      <c r="C557" s="604"/>
      <c r="D557" s="599"/>
      <c r="E557" s="601" t="s">
        <v>19</v>
      </c>
      <c r="F557" s="599"/>
      <c r="G557" s="602"/>
      <c r="H557" s="168" t="s">
        <v>12</v>
      </c>
      <c r="I557" s="165"/>
      <c r="J557" s="165"/>
      <c r="K557" s="166"/>
      <c r="L557" s="44">
        <f ca="1">IFERROR(__xludf.DUMMYFUNCTION("IMPORTRANGE(""https://docs.google.com/spreadsheets/d/1kC41EOXpGBFOW658Fs3oD8beYlym0-zO54WY-2Qnp9I/edit?usp=share_link"",""กระบี่!L557"")
+IMPORTRANGE(""https://docs.google.com/spreadsheets/d/1FbzMZY_f3MDiEuK7RpCQKrilJ_kpX0Wm7QBZ1L7EjIU/edit?usp=share_link"&amp;""",""ชุมพร!L557"")+IMPORTRANGE(""https://docs.google.com/spreadsheets/d/1v5sN-00LrXuhBxw4dkh2GrG_z4l5oAqOdJRBCsUyMaM/edit?usp=share_link"",""ตรัง!L557"")+IMPORTRANGE(""https://docs.google.com/spreadsheets/d/1T5rRTzFc79aSIvqnzkZNvwPstq829QYz_xALlO1Z0s8/edi"&amp;"t?usp=share_link"",""นครศรีธรรมราช!L557"")+IMPORTRANGE(""https://docs.google.com/spreadsheets/d/1BeghqumK0IvCmRd2QOy6_afsZq7ZtAGrSnVJy2u7WmY/edit?usp=share_link"",""นราธิวาส!L557"")+IMPORTRANGE(""https://docs.google.com/spreadsheets/d/1IwnW3-jjRf74MCLW-6P"&amp;"iFwMUffRQXZwZA7YM609NmRc/edit?usp=share_link"",""ปัตตานี!L557"")+IMPORTRANGE(""https://docs.google.com/spreadsheets/d/1vl4QWbWdFruual5o_wdo6ZSqXZ_it806oja4CctTLKs/edit?usp=share_link"",""พังงา!L557"")+IMPORTRANGE(""https://docs.google.com/spreadsheets/d/1"&amp;"b6QssHQp2FoAPSMKHOy273KNzAomaIKhtdlvuZ_zDNE/edit?usp=share_link"",""พัทลุง!L557"")+IMPORTRANGE(""https://docs.google.com/spreadsheets/d/1o7UZe4_OqlqtLDHrj01Z2YFRSZDf1DMy1n3XViHaxRc/edit?usp=share_link"",""ภูเก็ต!L557"")+IMPORTRANGE(""https://docs.google.c"&amp;"om/spreadsheets/d/1ctPm1vUzcUCPuOj9-eoHUD85PqINFqUB0TjdSWmR5-c/edit?usp=share_link"",""ยะลา!L557"")+IMPORTRANGE(""https://docs.google.com/spreadsheets/d/1YiDIE7Klmt8osgdapRqYWNr7iPGFSsiJqq46S7PYRE0/edit?usp=share_link"",""ระนอง!L557"")+IMPORTRANGE(""https"&amp;"://docs.google.com/spreadsheets/d/16o_4B-V7AWw_6E93bSpXj_XxVv1oVQctk-B6z1dNEWU/edit?usp=share_link"",""สงขลา!L557"")+IMPORTRANGE(""https://docs.google.com/spreadsheets/d/16cywr71Fj4fA5OGRHsZh30ZG2gwJhMAQv69oVBzYHv0/edit?usp=share_link"",""สตูล!L557"")+IMP"&amp;"ORTRANGE(""https://docs.google.com/spreadsheets/d/1vO9Sws6kMtrVtyvrAJptINXjK8TFBoX9xLYOVK_C8bQ/edit?usp=share_link"",""สุราษฎร์ธานี!L557"")"),0)</f>
        <v>0</v>
      </c>
      <c r="M557" s="92">
        <v>0</v>
      </c>
      <c r="N557" s="92">
        <v>0</v>
      </c>
      <c r="O557" s="44">
        <f t="shared" ca="1" si="279"/>
        <v>0</v>
      </c>
      <c r="P557" s="44">
        <f t="shared" si="280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20.25" customHeight="1">
      <c r="A558" s="607"/>
      <c r="B558" s="608"/>
      <c r="C558" s="574" t="s">
        <v>16</v>
      </c>
      <c r="D558" s="678" t="s">
        <v>38</v>
      </c>
      <c r="E558" s="611"/>
      <c r="F558" s="611"/>
      <c r="G558" s="612"/>
      <c r="H558" s="174"/>
      <c r="I558" s="161"/>
      <c r="J558" s="161"/>
      <c r="K558" s="162"/>
      <c r="L558" s="162"/>
      <c r="M558" s="162"/>
      <c r="N558" s="162"/>
      <c r="O558" s="162"/>
      <c r="P558" s="162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20.25" customHeight="1">
      <c r="A559" s="691"/>
      <c r="B559" s="692" t="s">
        <v>234</v>
      </c>
      <c r="C559" s="693"/>
      <c r="D559" s="693"/>
      <c r="E559" s="672"/>
      <c r="F559" s="672"/>
      <c r="G559" s="673"/>
      <c r="H559" s="694" t="s">
        <v>46</v>
      </c>
      <c r="I559" s="675">
        <f t="shared" ref="I559:J559" ca="1" si="281">I576</f>
        <v>380545.78830000001</v>
      </c>
      <c r="J559" s="675">
        <f t="shared" ca="1" si="281"/>
        <v>380553.31079999992</v>
      </c>
      <c r="K559" s="676">
        <f t="shared" ref="K559:K561" ca="1" si="282">IF(I559&gt;0,J559*100/I559,0)</f>
        <v>100.00197676606368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20.25" customHeight="1">
      <c r="A560" s="607"/>
      <c r="B560" s="608"/>
      <c r="C560" s="621" t="s">
        <v>235</v>
      </c>
      <c r="D560" s="608"/>
      <c r="E560" s="618"/>
      <c r="F560" s="618"/>
      <c r="G560" s="174"/>
      <c r="H560" s="191" t="s">
        <v>46</v>
      </c>
      <c r="I560" s="192">
        <f ca="1">IFERROR(__xludf.DUMMYFUNCTION("IMPORTRANGE(""https://docs.google.com/spreadsheets/d/1kC41EOXpGBFOW658Fs3oD8beYlym0-zO54WY-2Qnp9I/edit?usp=share_link"",""กระบี่!I560"")
+IMPORTRANGE(""https://docs.google.com/spreadsheets/d/1FbzMZY_f3MDiEuK7RpCQKrilJ_kpX0Wm7QBZ1L7EjIU/edit?usp=share_link"&amp;""",""ชุมพร!I560"")+IMPORTRANGE(""https://docs.google.com/spreadsheets/d/1v5sN-00LrXuhBxw4dkh2GrG_z4l5oAqOdJRBCsUyMaM/edit?usp=share_link"",""ตรัง!I560"")+IMPORTRANGE(""https://docs.google.com/spreadsheets/d/1T5rRTzFc79aSIvqnzkZNvwPstq829QYz_xALlO1Z0s8/edi"&amp;"t?usp=share_link"",""นครศรีธรรมราช!I560"")+IMPORTRANGE(""https://docs.google.com/spreadsheets/d/1BeghqumK0IvCmRd2QOy6_afsZq7ZtAGrSnVJy2u7WmY/edit?usp=share_link"",""นราธิวาส!I560"")+IMPORTRANGE(""https://docs.google.com/spreadsheets/d/1IwnW3-jjRf74MCLW-6P"&amp;"iFwMUffRQXZwZA7YM609NmRc/edit?usp=share_link"",""ปัตตานี!I560"")+IMPORTRANGE(""https://docs.google.com/spreadsheets/d/1vl4QWbWdFruual5o_wdo6ZSqXZ_it806oja4CctTLKs/edit?usp=share_link"",""พังงา!I560"")+IMPORTRANGE(""https://docs.google.com/spreadsheets/d/1"&amp;"b6QssHQp2FoAPSMKHOy273KNzAomaIKhtdlvuZ_zDNE/edit?usp=share_link"",""พัทลุง!I560"")+IMPORTRANGE(""https://docs.google.com/spreadsheets/d/1o7UZe4_OqlqtLDHrj01Z2YFRSZDf1DMy1n3XViHaxRc/edit?usp=share_link"",""ภูเก็ต!I560"")+IMPORTRANGE(""https://docs.google.c"&amp;"om/spreadsheets/d/1ctPm1vUzcUCPuOj9-eoHUD85PqINFqUB0TjdSWmR5-c/edit?usp=share_link"",""ยะลา!I560"")+IMPORTRANGE(""https://docs.google.com/spreadsheets/d/1YiDIE7Klmt8osgdapRqYWNr7iPGFSsiJqq46S7PYRE0/edit?usp=share_link"",""ระนอง!I560"")+IMPORTRANGE(""https"&amp;"://docs.google.com/spreadsheets/d/16o_4B-V7AWw_6E93bSpXj_XxVv1oVQctk-B6z1dNEWU/edit?usp=share_link"",""สงขลา!I560"")+IMPORTRANGE(""https://docs.google.com/spreadsheets/d/16cywr71Fj4fA5OGRHsZh30ZG2gwJhMAQv69oVBzYHv0/edit?usp=share_link"",""สตูล!I560"")+IMP"&amp;"ORTRANGE(""https://docs.google.com/spreadsheets/d/1vO9Sws6kMtrVtyvrAJptINXjK8TFBoX9xLYOVK_C8bQ/edit?usp=share_link"",""สุราษฎร์ธานี!I560"")"),380545.7883)</f>
        <v>380545.78830000001</v>
      </c>
      <c r="J560" s="192">
        <f t="shared" ref="J560:J561" ca="1" si="283">J562+J564+J566</f>
        <v>379549.11949999997</v>
      </c>
      <c r="K560" s="411">
        <f t="shared" ca="1" si="282"/>
        <v>99.738094907198303</v>
      </c>
      <c r="L560" s="162"/>
      <c r="M560" s="162"/>
      <c r="N560" s="162"/>
      <c r="O560" s="162"/>
      <c r="P560" s="162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20.25" customHeight="1">
      <c r="A561" s="607"/>
      <c r="B561" s="608"/>
      <c r="C561" s="608"/>
      <c r="D561" s="618"/>
      <c r="E561" s="618"/>
      <c r="F561" s="618"/>
      <c r="G561" s="174"/>
      <c r="H561" s="191" t="s">
        <v>34</v>
      </c>
      <c r="I561" s="192">
        <f ca="1">IFERROR(__xludf.DUMMYFUNCTION("IMPORTRANGE(""https://docs.google.com/spreadsheets/d/1kC41EOXpGBFOW658Fs3oD8beYlym0-zO54WY-2Qnp9I/edit?usp=share_link"",""กระบี่!I561"")
+IMPORTRANGE(""https://docs.google.com/spreadsheets/d/1FbzMZY_f3MDiEuK7RpCQKrilJ_kpX0Wm7QBZ1L7EjIU/edit?usp=share_link"&amp;""",""ชุมพร!I561"")+IMPORTRANGE(""https://docs.google.com/spreadsheets/d/1v5sN-00LrXuhBxw4dkh2GrG_z4l5oAqOdJRBCsUyMaM/edit?usp=share_link"",""ตรัง!I561"")+IMPORTRANGE(""https://docs.google.com/spreadsheets/d/1T5rRTzFc79aSIvqnzkZNvwPstq829QYz_xALlO1Z0s8/edi"&amp;"t?usp=share_link"",""นครศรีธรรมราช!I561"")+IMPORTRANGE(""https://docs.google.com/spreadsheets/d/1BeghqumK0IvCmRd2QOy6_afsZq7ZtAGrSnVJy2u7WmY/edit?usp=share_link"",""นราธิวาส!I561"")+IMPORTRANGE(""https://docs.google.com/spreadsheets/d/1IwnW3-jjRf74MCLW-6P"&amp;"iFwMUffRQXZwZA7YM609NmRc/edit?usp=share_link"",""ปัตตานี!I561"")+IMPORTRANGE(""https://docs.google.com/spreadsheets/d/1vl4QWbWdFruual5o_wdo6ZSqXZ_it806oja4CctTLKs/edit?usp=share_link"",""พังงา!I561"")+IMPORTRANGE(""https://docs.google.com/spreadsheets/d/1"&amp;"b6QssHQp2FoAPSMKHOy273KNzAomaIKhtdlvuZ_zDNE/edit?usp=share_link"",""พัทลุง!I561"")+IMPORTRANGE(""https://docs.google.com/spreadsheets/d/1o7UZe4_OqlqtLDHrj01Z2YFRSZDf1DMy1n3XViHaxRc/edit?usp=share_link"",""ภูเก็ต!I561"")+IMPORTRANGE(""https://docs.google.c"&amp;"om/spreadsheets/d/1ctPm1vUzcUCPuOj9-eoHUD85PqINFqUB0TjdSWmR5-c/edit?usp=share_link"",""ยะลา!I561"")+IMPORTRANGE(""https://docs.google.com/spreadsheets/d/1YiDIE7Klmt8osgdapRqYWNr7iPGFSsiJqq46S7PYRE0/edit?usp=share_link"",""ระนอง!I561"")+IMPORTRANGE(""https"&amp;"://docs.google.com/spreadsheets/d/16o_4B-V7AWw_6E93bSpXj_XxVv1oVQctk-B6z1dNEWU/edit?usp=share_link"",""สงขลา!I561"")+IMPORTRANGE(""https://docs.google.com/spreadsheets/d/16cywr71Fj4fA5OGRHsZh30ZG2gwJhMAQv69oVBzYHv0/edit?usp=share_link"",""สตูล!I561"")+IMP"&amp;"ORTRANGE(""https://docs.google.com/spreadsheets/d/1vO9Sws6kMtrVtyvrAJptINXjK8TFBoX9xLYOVK_C8bQ/edit?usp=share_link"",""สุราษฎร์ธานี!I561"")"),42774)</f>
        <v>42774</v>
      </c>
      <c r="J561" s="192">
        <f t="shared" ca="1" si="283"/>
        <v>42639</v>
      </c>
      <c r="K561" s="411">
        <f t="shared" ca="1" si="282"/>
        <v>99.684387712161595</v>
      </c>
      <c r="L561" s="162"/>
      <c r="M561" s="162"/>
      <c r="N561" s="162"/>
      <c r="O561" s="162"/>
      <c r="P561" s="162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20.25" customHeight="1">
      <c r="A562" s="607"/>
      <c r="B562" s="608"/>
      <c r="C562" s="608"/>
      <c r="D562" s="186" t="s">
        <v>236</v>
      </c>
      <c r="E562" s="618"/>
      <c r="F562" s="618"/>
      <c r="G562" s="174"/>
      <c r="H562" s="181" t="s">
        <v>46</v>
      </c>
      <c r="I562" s="161"/>
      <c r="J562" s="182">
        <f ca="1">IFERROR(__xludf.DUMMYFUNCTION("IMPORTRANGE(""https://docs.google.com/spreadsheets/d/1kC41EOXpGBFOW658Fs3oD8beYlym0-zO54WY-2Qnp9I/edit?usp=share_link"",""กระบี่!J562"")
+IMPORTRANGE(""https://docs.google.com/spreadsheets/d/1FbzMZY_f3MDiEuK7RpCQKrilJ_kpX0Wm7QBZ1L7EjIU/edit?usp=share_link"&amp;""",""ชุมพร!J562"")+IMPORTRANGE(""https://docs.google.com/spreadsheets/d/1v5sN-00LrXuhBxw4dkh2GrG_z4l5oAqOdJRBCsUyMaM/edit?usp=share_link"",""ตรัง!J562"")+IMPORTRANGE(""https://docs.google.com/spreadsheets/d/1T5rRTzFc79aSIvqnzkZNvwPstq829QYz_xALlO1Z0s8/edi"&amp;"t?usp=share_link"",""นครศรีธรรมราช!J562"")+IMPORTRANGE(""https://docs.google.com/spreadsheets/d/1BeghqumK0IvCmRd2QOy6_afsZq7ZtAGrSnVJy2u7WmY/edit?usp=share_link"",""นราธิวาส!J562"")+IMPORTRANGE(""https://docs.google.com/spreadsheets/d/1IwnW3-jjRf74MCLW-6P"&amp;"iFwMUffRQXZwZA7YM609NmRc/edit?usp=share_link"",""ปัตตานี!J562"")+IMPORTRANGE(""https://docs.google.com/spreadsheets/d/1vl4QWbWdFruual5o_wdo6ZSqXZ_it806oja4CctTLKs/edit?usp=share_link"",""พังงา!J562"")+IMPORTRANGE(""https://docs.google.com/spreadsheets/d/1"&amp;"b6QssHQp2FoAPSMKHOy273KNzAomaIKhtdlvuZ_zDNE/edit?usp=share_link"",""พัทลุง!J562"")+IMPORTRANGE(""https://docs.google.com/spreadsheets/d/1o7UZe4_OqlqtLDHrj01Z2YFRSZDf1DMy1n3XViHaxRc/edit?usp=share_link"",""ภูเก็ต!J562"")+IMPORTRANGE(""https://docs.google.c"&amp;"om/spreadsheets/d/1ctPm1vUzcUCPuOj9-eoHUD85PqINFqUB0TjdSWmR5-c/edit?usp=share_link"",""ยะลา!J562"")+IMPORTRANGE(""https://docs.google.com/spreadsheets/d/1YiDIE7Klmt8osgdapRqYWNr7iPGFSsiJqq46S7PYRE0/edit?usp=share_link"",""ระนอง!J562"")+IMPORTRANGE(""https"&amp;"://docs.google.com/spreadsheets/d/16o_4B-V7AWw_6E93bSpXj_XxVv1oVQctk-B6z1dNEWU/edit?usp=share_link"",""สงขลา!J562"")+IMPORTRANGE(""https://docs.google.com/spreadsheets/d/16cywr71Fj4fA5OGRHsZh30ZG2gwJhMAQv69oVBzYHv0/edit?usp=share_link"",""สตูล!J562"")+IMP"&amp;"ORTRANGE(""https://docs.google.com/spreadsheets/d/1vO9Sws6kMtrVtyvrAJptINXjK8TFBoX9xLYOVK_C8bQ/edit?usp=share_link"",""สุราษฎร์ธานี!J562"")"),336178.934)</f>
        <v>336178.93400000001</v>
      </c>
      <c r="K562" s="162"/>
      <c r="L562" s="162"/>
      <c r="M562" s="162"/>
      <c r="N562" s="162"/>
      <c r="O562" s="162"/>
      <c r="P562" s="162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20.25" customHeight="1">
      <c r="A563" s="607"/>
      <c r="B563" s="608"/>
      <c r="C563" s="608"/>
      <c r="D563" s="608"/>
      <c r="E563" s="618"/>
      <c r="F563" s="618"/>
      <c r="G563" s="174"/>
      <c r="H563" s="181" t="s">
        <v>34</v>
      </c>
      <c r="I563" s="161"/>
      <c r="J563" s="182">
        <f ca="1">IFERROR(__xludf.DUMMYFUNCTION("IMPORTRANGE(""https://docs.google.com/spreadsheets/d/1kC41EOXpGBFOW658Fs3oD8beYlym0-zO54WY-2Qnp9I/edit?usp=share_link"",""กระบี่!J563"")
+IMPORTRANGE(""https://docs.google.com/spreadsheets/d/1FbzMZY_f3MDiEuK7RpCQKrilJ_kpX0Wm7QBZ1L7EjIU/edit?usp=share_link"&amp;""",""ชุมพร!J563"")+IMPORTRANGE(""https://docs.google.com/spreadsheets/d/1v5sN-00LrXuhBxw4dkh2GrG_z4l5oAqOdJRBCsUyMaM/edit?usp=share_link"",""ตรัง!J563"")+IMPORTRANGE(""https://docs.google.com/spreadsheets/d/1T5rRTzFc79aSIvqnzkZNvwPstq829QYz_xALlO1Z0s8/edi"&amp;"t?usp=share_link"",""นครศรีธรรมราช!J563"")+IMPORTRANGE(""https://docs.google.com/spreadsheets/d/1BeghqumK0IvCmRd2QOy6_afsZq7ZtAGrSnVJy2u7WmY/edit?usp=share_link"",""นราธิวาส!J563"")+IMPORTRANGE(""https://docs.google.com/spreadsheets/d/1IwnW3-jjRf74MCLW-6P"&amp;"iFwMUffRQXZwZA7YM609NmRc/edit?usp=share_link"",""ปัตตานี!J563"")+IMPORTRANGE(""https://docs.google.com/spreadsheets/d/1vl4QWbWdFruual5o_wdo6ZSqXZ_it806oja4CctTLKs/edit?usp=share_link"",""พังงา!J563"")+IMPORTRANGE(""https://docs.google.com/spreadsheets/d/1"&amp;"b6QssHQp2FoAPSMKHOy273KNzAomaIKhtdlvuZ_zDNE/edit?usp=share_link"",""พัทลุง!J563"")+IMPORTRANGE(""https://docs.google.com/spreadsheets/d/1o7UZe4_OqlqtLDHrj01Z2YFRSZDf1DMy1n3XViHaxRc/edit?usp=share_link"",""ภูเก็ต!J563"")+IMPORTRANGE(""https://docs.google.c"&amp;"om/spreadsheets/d/1ctPm1vUzcUCPuOj9-eoHUD85PqINFqUB0TjdSWmR5-c/edit?usp=share_link"",""ยะลา!J563"")+IMPORTRANGE(""https://docs.google.com/spreadsheets/d/1YiDIE7Klmt8osgdapRqYWNr7iPGFSsiJqq46S7PYRE0/edit?usp=share_link"",""ระนอง!J563"")+IMPORTRANGE(""https"&amp;"://docs.google.com/spreadsheets/d/16o_4B-V7AWw_6E93bSpXj_XxVv1oVQctk-B6z1dNEWU/edit?usp=share_link"",""สงขลา!J563"")+IMPORTRANGE(""https://docs.google.com/spreadsheets/d/16cywr71Fj4fA5OGRHsZh30ZG2gwJhMAQv69oVBzYHv0/edit?usp=share_link"",""สตูล!J563"")+IMP"&amp;"ORTRANGE(""https://docs.google.com/spreadsheets/d/1vO9Sws6kMtrVtyvrAJptINXjK8TFBoX9xLYOVK_C8bQ/edit?usp=share_link"",""สุราษฎร์ธานี!J563"")"),37978)</f>
        <v>37978</v>
      </c>
      <c r="K563" s="162"/>
      <c r="L563" s="162"/>
      <c r="M563" s="162"/>
      <c r="N563" s="162"/>
      <c r="O563" s="162"/>
      <c r="P563" s="162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20.25" customHeight="1">
      <c r="A564" s="607"/>
      <c r="B564" s="608"/>
      <c r="C564" s="608"/>
      <c r="D564" s="186" t="s">
        <v>237</v>
      </c>
      <c r="E564" s="618"/>
      <c r="F564" s="618"/>
      <c r="G564" s="174"/>
      <c r="H564" s="181" t="s">
        <v>46</v>
      </c>
      <c r="I564" s="161"/>
      <c r="J564" s="182">
        <f ca="1">IFERROR(__xludf.DUMMYFUNCTION("IMPORTRANGE(""https://docs.google.com/spreadsheets/d/1kC41EOXpGBFOW658Fs3oD8beYlym0-zO54WY-2Qnp9I/edit?usp=share_link"",""กระบี่!J564"")
+IMPORTRANGE(""https://docs.google.com/spreadsheets/d/1FbzMZY_f3MDiEuK7RpCQKrilJ_kpX0Wm7QBZ1L7EjIU/edit?usp=share_link"&amp;""",""ชุมพร!J564"")+IMPORTRANGE(""https://docs.google.com/spreadsheets/d/1v5sN-00LrXuhBxw4dkh2GrG_z4l5oAqOdJRBCsUyMaM/edit?usp=share_link"",""ตรัง!J564"")+IMPORTRANGE(""https://docs.google.com/spreadsheets/d/1T5rRTzFc79aSIvqnzkZNvwPstq829QYz_xALlO1Z0s8/edi"&amp;"t?usp=share_link"",""นครศรีธรรมราช!J564"")+IMPORTRANGE(""https://docs.google.com/spreadsheets/d/1BeghqumK0IvCmRd2QOy6_afsZq7ZtAGrSnVJy2u7WmY/edit?usp=share_link"",""นราธิวาส!J564"")+IMPORTRANGE(""https://docs.google.com/spreadsheets/d/1IwnW3-jjRf74MCLW-6P"&amp;"iFwMUffRQXZwZA7YM609NmRc/edit?usp=share_link"",""ปัตตานี!J564"")+IMPORTRANGE(""https://docs.google.com/spreadsheets/d/1vl4QWbWdFruual5o_wdo6ZSqXZ_it806oja4CctTLKs/edit?usp=share_link"",""พังงา!J564"")+IMPORTRANGE(""https://docs.google.com/spreadsheets/d/1"&amp;"b6QssHQp2FoAPSMKHOy273KNzAomaIKhtdlvuZ_zDNE/edit?usp=share_link"",""พัทลุง!J564"")+IMPORTRANGE(""https://docs.google.com/spreadsheets/d/1o7UZe4_OqlqtLDHrj01Z2YFRSZDf1DMy1n3XViHaxRc/edit?usp=share_link"",""ภูเก็ต!J564"")+IMPORTRANGE(""https://docs.google.c"&amp;"om/spreadsheets/d/1ctPm1vUzcUCPuOj9-eoHUD85PqINFqUB0TjdSWmR5-c/edit?usp=share_link"",""ยะลา!J564"")+IMPORTRANGE(""https://docs.google.com/spreadsheets/d/1YiDIE7Klmt8osgdapRqYWNr7iPGFSsiJqq46S7PYRE0/edit?usp=share_link"",""ระนอง!J564"")+IMPORTRANGE(""https"&amp;"://docs.google.com/spreadsheets/d/16o_4B-V7AWw_6E93bSpXj_XxVv1oVQctk-B6z1dNEWU/edit?usp=share_link"",""สงขลา!J564"")+IMPORTRANGE(""https://docs.google.com/spreadsheets/d/16cywr71Fj4fA5OGRHsZh30ZG2gwJhMAQv69oVBzYHv0/edit?usp=share_link"",""สตูล!J564"")+IMP"&amp;"ORTRANGE(""https://docs.google.com/spreadsheets/d/1vO9Sws6kMtrVtyvrAJptINXjK8TFBoX9xLYOVK_C8bQ/edit?usp=share_link"",""สุราษฎร์ธานี!J564"")"),35466.5805)</f>
        <v>35466.580499999996</v>
      </c>
      <c r="K564" s="162"/>
      <c r="L564" s="162"/>
      <c r="M564" s="162"/>
      <c r="N564" s="162"/>
      <c r="O564" s="162"/>
      <c r="P564" s="162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20.25" customHeight="1">
      <c r="A565" s="607"/>
      <c r="B565" s="608"/>
      <c r="C565" s="608"/>
      <c r="D565" s="618"/>
      <c r="E565" s="618"/>
      <c r="F565" s="618"/>
      <c r="G565" s="174"/>
      <c r="H565" s="181" t="s">
        <v>34</v>
      </c>
      <c r="I565" s="161"/>
      <c r="J565" s="182">
        <f ca="1">IFERROR(__xludf.DUMMYFUNCTION("IMPORTRANGE(""https://docs.google.com/spreadsheets/d/1kC41EOXpGBFOW658Fs3oD8beYlym0-zO54WY-2Qnp9I/edit?usp=share_link"",""กระบี่!J565"")
+IMPORTRANGE(""https://docs.google.com/spreadsheets/d/1FbzMZY_f3MDiEuK7RpCQKrilJ_kpX0Wm7QBZ1L7EjIU/edit?usp=share_link"&amp;""",""ชุมพร!J565"")+IMPORTRANGE(""https://docs.google.com/spreadsheets/d/1v5sN-00LrXuhBxw4dkh2GrG_z4l5oAqOdJRBCsUyMaM/edit?usp=share_link"",""ตรัง!J565"")+IMPORTRANGE(""https://docs.google.com/spreadsheets/d/1T5rRTzFc79aSIvqnzkZNvwPstq829QYz_xALlO1Z0s8/edi"&amp;"t?usp=share_link"",""นครศรีธรรมราช!J565"")+IMPORTRANGE(""https://docs.google.com/spreadsheets/d/1BeghqumK0IvCmRd2QOy6_afsZq7ZtAGrSnVJy2u7WmY/edit?usp=share_link"",""นราธิวาส!J565"")+IMPORTRANGE(""https://docs.google.com/spreadsheets/d/1IwnW3-jjRf74MCLW-6P"&amp;"iFwMUffRQXZwZA7YM609NmRc/edit?usp=share_link"",""ปัตตานี!J565"")+IMPORTRANGE(""https://docs.google.com/spreadsheets/d/1vl4QWbWdFruual5o_wdo6ZSqXZ_it806oja4CctTLKs/edit?usp=share_link"",""พังงา!J565"")+IMPORTRANGE(""https://docs.google.com/spreadsheets/d/1"&amp;"b6QssHQp2FoAPSMKHOy273KNzAomaIKhtdlvuZ_zDNE/edit?usp=share_link"",""พัทลุง!J565"")+IMPORTRANGE(""https://docs.google.com/spreadsheets/d/1o7UZe4_OqlqtLDHrj01Z2YFRSZDf1DMy1n3XViHaxRc/edit?usp=share_link"",""ภูเก็ต!J565"")+IMPORTRANGE(""https://docs.google.c"&amp;"om/spreadsheets/d/1ctPm1vUzcUCPuOj9-eoHUD85PqINFqUB0TjdSWmR5-c/edit?usp=share_link"",""ยะลา!J565"")+IMPORTRANGE(""https://docs.google.com/spreadsheets/d/1YiDIE7Klmt8osgdapRqYWNr7iPGFSsiJqq46S7PYRE0/edit?usp=share_link"",""ระนอง!J565"")+IMPORTRANGE(""https"&amp;"://docs.google.com/spreadsheets/d/16o_4B-V7AWw_6E93bSpXj_XxVv1oVQctk-B6z1dNEWU/edit?usp=share_link"",""สงขลา!J565"")+IMPORTRANGE(""https://docs.google.com/spreadsheets/d/16cywr71Fj4fA5OGRHsZh30ZG2gwJhMAQv69oVBzYHv0/edit?usp=share_link"",""สตูล!J565"")+IMP"&amp;"ORTRANGE(""https://docs.google.com/spreadsheets/d/1vO9Sws6kMtrVtyvrAJptINXjK8TFBoX9xLYOVK_C8bQ/edit?usp=share_link"",""สุราษฎร์ธานี!J565"")"),3712)</f>
        <v>3712</v>
      </c>
      <c r="K565" s="162"/>
      <c r="L565" s="162"/>
      <c r="M565" s="162"/>
      <c r="N565" s="162"/>
      <c r="O565" s="162"/>
      <c r="P565" s="162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20.25" customHeight="1">
      <c r="A566" s="607"/>
      <c r="B566" s="608"/>
      <c r="C566" s="608"/>
      <c r="D566" s="186" t="s">
        <v>238</v>
      </c>
      <c r="E566" s="618"/>
      <c r="F566" s="618"/>
      <c r="G566" s="174"/>
      <c r="H566" s="181" t="s">
        <v>46</v>
      </c>
      <c r="I566" s="161"/>
      <c r="J566" s="182">
        <f ca="1">IFERROR(__xludf.DUMMYFUNCTION("IMPORTRANGE(""https://docs.google.com/spreadsheets/d/1kC41EOXpGBFOW658Fs3oD8beYlym0-zO54WY-2Qnp9I/edit?usp=share_link"",""กระบี่!J566"")
+IMPORTRANGE(""https://docs.google.com/spreadsheets/d/1FbzMZY_f3MDiEuK7RpCQKrilJ_kpX0Wm7QBZ1L7EjIU/edit?usp=share_link"&amp;""",""ชุมพร!J566"")+IMPORTRANGE(""https://docs.google.com/spreadsheets/d/1v5sN-00LrXuhBxw4dkh2GrG_z4l5oAqOdJRBCsUyMaM/edit?usp=share_link"",""ตรัง!J566"")+IMPORTRANGE(""https://docs.google.com/spreadsheets/d/1T5rRTzFc79aSIvqnzkZNvwPstq829QYz_xALlO1Z0s8/edi"&amp;"t?usp=share_link"",""นครศรีธรรมราช!J566"")+IMPORTRANGE(""https://docs.google.com/spreadsheets/d/1BeghqumK0IvCmRd2QOy6_afsZq7ZtAGrSnVJy2u7WmY/edit?usp=share_link"",""นราธิวาส!J566"")+IMPORTRANGE(""https://docs.google.com/spreadsheets/d/1IwnW3-jjRf74MCLW-6P"&amp;"iFwMUffRQXZwZA7YM609NmRc/edit?usp=share_link"",""ปัตตานี!J566"")+IMPORTRANGE(""https://docs.google.com/spreadsheets/d/1vl4QWbWdFruual5o_wdo6ZSqXZ_it806oja4CctTLKs/edit?usp=share_link"",""พังงา!J566"")+IMPORTRANGE(""https://docs.google.com/spreadsheets/d/1"&amp;"b6QssHQp2FoAPSMKHOy273KNzAomaIKhtdlvuZ_zDNE/edit?usp=share_link"",""พัทลุง!J566"")+IMPORTRANGE(""https://docs.google.com/spreadsheets/d/1o7UZe4_OqlqtLDHrj01Z2YFRSZDf1DMy1n3XViHaxRc/edit?usp=share_link"",""ภูเก็ต!J566"")+IMPORTRANGE(""https://docs.google.c"&amp;"om/spreadsheets/d/1ctPm1vUzcUCPuOj9-eoHUD85PqINFqUB0TjdSWmR5-c/edit?usp=share_link"",""ยะลา!J566"")+IMPORTRANGE(""https://docs.google.com/spreadsheets/d/1YiDIE7Klmt8osgdapRqYWNr7iPGFSsiJqq46S7PYRE0/edit?usp=share_link"",""ระนอง!J566"")+IMPORTRANGE(""https"&amp;"://docs.google.com/spreadsheets/d/16o_4B-V7AWw_6E93bSpXj_XxVv1oVQctk-B6z1dNEWU/edit?usp=share_link"",""สงขลา!J566"")+IMPORTRANGE(""https://docs.google.com/spreadsheets/d/16cywr71Fj4fA5OGRHsZh30ZG2gwJhMAQv69oVBzYHv0/edit?usp=share_link"",""สตูล!J566"")+IMP"&amp;"ORTRANGE(""https://docs.google.com/spreadsheets/d/1vO9Sws6kMtrVtyvrAJptINXjK8TFBoX9xLYOVK_C8bQ/edit?usp=share_link"",""สุราษฎร์ธานี!J566"")"),7903.605)</f>
        <v>7903.6049999999996</v>
      </c>
      <c r="K566" s="162"/>
      <c r="L566" s="162"/>
      <c r="M566" s="162"/>
      <c r="N566" s="162"/>
      <c r="O566" s="162"/>
      <c r="P566" s="162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20.25" customHeight="1">
      <c r="A567" s="607"/>
      <c r="B567" s="608"/>
      <c r="C567" s="608"/>
      <c r="D567" s="618"/>
      <c r="E567" s="618"/>
      <c r="F567" s="618"/>
      <c r="G567" s="174"/>
      <c r="H567" s="181" t="s">
        <v>34</v>
      </c>
      <c r="I567" s="161"/>
      <c r="J567" s="182">
        <f ca="1">IFERROR(__xludf.DUMMYFUNCTION("IMPORTRANGE(""https://docs.google.com/spreadsheets/d/1kC41EOXpGBFOW658Fs3oD8beYlym0-zO54WY-2Qnp9I/edit?usp=share_link"",""กระบี่!J567"")
+IMPORTRANGE(""https://docs.google.com/spreadsheets/d/1FbzMZY_f3MDiEuK7RpCQKrilJ_kpX0Wm7QBZ1L7EjIU/edit?usp=share_link"&amp;""",""ชุมพร!J567"")+IMPORTRANGE(""https://docs.google.com/spreadsheets/d/1v5sN-00LrXuhBxw4dkh2GrG_z4l5oAqOdJRBCsUyMaM/edit?usp=share_link"",""ตรัง!J567"")+IMPORTRANGE(""https://docs.google.com/spreadsheets/d/1T5rRTzFc79aSIvqnzkZNvwPstq829QYz_xALlO1Z0s8/edi"&amp;"t?usp=share_link"",""นครศรีธรรมราช!J567"")+IMPORTRANGE(""https://docs.google.com/spreadsheets/d/1BeghqumK0IvCmRd2QOy6_afsZq7ZtAGrSnVJy2u7WmY/edit?usp=share_link"",""นราธิวาส!J567"")+IMPORTRANGE(""https://docs.google.com/spreadsheets/d/1IwnW3-jjRf74MCLW-6P"&amp;"iFwMUffRQXZwZA7YM609NmRc/edit?usp=share_link"",""ปัตตานี!J567"")+IMPORTRANGE(""https://docs.google.com/spreadsheets/d/1vl4QWbWdFruual5o_wdo6ZSqXZ_it806oja4CctTLKs/edit?usp=share_link"",""พังงา!J567"")+IMPORTRANGE(""https://docs.google.com/spreadsheets/d/1"&amp;"b6QssHQp2FoAPSMKHOy273KNzAomaIKhtdlvuZ_zDNE/edit?usp=share_link"",""พัทลุง!J567"")+IMPORTRANGE(""https://docs.google.com/spreadsheets/d/1o7UZe4_OqlqtLDHrj01Z2YFRSZDf1DMy1n3XViHaxRc/edit?usp=share_link"",""ภูเก็ต!J567"")+IMPORTRANGE(""https://docs.google.c"&amp;"om/spreadsheets/d/1ctPm1vUzcUCPuOj9-eoHUD85PqINFqUB0TjdSWmR5-c/edit?usp=share_link"",""ยะลา!J567"")+IMPORTRANGE(""https://docs.google.com/spreadsheets/d/1YiDIE7Klmt8osgdapRqYWNr7iPGFSsiJqq46S7PYRE0/edit?usp=share_link"",""ระนอง!J567"")+IMPORTRANGE(""https"&amp;"://docs.google.com/spreadsheets/d/16o_4B-V7AWw_6E93bSpXj_XxVv1oVQctk-B6z1dNEWU/edit?usp=share_link"",""สงขลา!J567"")+IMPORTRANGE(""https://docs.google.com/spreadsheets/d/16cywr71Fj4fA5OGRHsZh30ZG2gwJhMAQv69oVBzYHv0/edit?usp=share_link"",""สตูล!J567"")+IMP"&amp;"ORTRANGE(""https://docs.google.com/spreadsheets/d/1vO9Sws6kMtrVtyvrAJptINXjK8TFBoX9xLYOVK_C8bQ/edit?usp=share_link"",""สุราษฎร์ธานี!J567"")"),949)</f>
        <v>949</v>
      </c>
      <c r="K567" s="162"/>
      <c r="L567" s="162"/>
      <c r="M567" s="162"/>
      <c r="N567" s="162"/>
      <c r="O567" s="162"/>
      <c r="P567" s="162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20.25" customHeight="1">
      <c r="A568" s="607"/>
      <c r="B568" s="608"/>
      <c r="C568" s="621" t="s">
        <v>239</v>
      </c>
      <c r="D568" s="618"/>
      <c r="E568" s="618"/>
      <c r="F568" s="618"/>
      <c r="G568" s="174"/>
      <c r="H568" s="191" t="s">
        <v>46</v>
      </c>
      <c r="I568" s="192">
        <f ca="1">IFERROR(__xludf.DUMMYFUNCTION("IMPORTRANGE(""https://docs.google.com/spreadsheets/d/1kC41EOXpGBFOW658Fs3oD8beYlym0-zO54WY-2Qnp9I/edit?usp=share_link"",""กระบี่!I568"")
+IMPORTRANGE(""https://docs.google.com/spreadsheets/d/1FbzMZY_f3MDiEuK7RpCQKrilJ_kpX0Wm7QBZ1L7EjIU/edit?usp=share_link"&amp;""",""ชุมพร!I568"")+IMPORTRANGE(""https://docs.google.com/spreadsheets/d/1v5sN-00LrXuhBxw4dkh2GrG_z4l5oAqOdJRBCsUyMaM/edit?usp=share_link"",""ตรัง!I568"")+IMPORTRANGE(""https://docs.google.com/spreadsheets/d/1T5rRTzFc79aSIvqnzkZNvwPstq829QYz_xALlO1Z0s8/edi"&amp;"t?usp=share_link"",""นครศรีธรรมราช!I568"")+IMPORTRANGE(""https://docs.google.com/spreadsheets/d/1BeghqumK0IvCmRd2QOy6_afsZq7ZtAGrSnVJy2u7WmY/edit?usp=share_link"",""นราธิวาส!I568"")+IMPORTRANGE(""https://docs.google.com/spreadsheets/d/1IwnW3-jjRf74MCLW-6P"&amp;"iFwMUffRQXZwZA7YM609NmRc/edit?usp=share_link"",""ปัตตานี!I568"")+IMPORTRANGE(""https://docs.google.com/spreadsheets/d/1vl4QWbWdFruual5o_wdo6ZSqXZ_it806oja4CctTLKs/edit?usp=share_link"",""พังงา!I568"")+IMPORTRANGE(""https://docs.google.com/spreadsheets/d/1"&amp;"b6QssHQp2FoAPSMKHOy273KNzAomaIKhtdlvuZ_zDNE/edit?usp=share_link"",""พัทลุง!I568"")+IMPORTRANGE(""https://docs.google.com/spreadsheets/d/1o7UZe4_OqlqtLDHrj01Z2YFRSZDf1DMy1n3XViHaxRc/edit?usp=share_link"",""ภูเก็ต!I568"")+IMPORTRANGE(""https://docs.google.c"&amp;"om/spreadsheets/d/1ctPm1vUzcUCPuOj9-eoHUD85PqINFqUB0TjdSWmR5-c/edit?usp=share_link"",""ยะลา!I568"")+IMPORTRANGE(""https://docs.google.com/spreadsheets/d/1YiDIE7Klmt8osgdapRqYWNr7iPGFSsiJqq46S7PYRE0/edit?usp=share_link"",""ระนอง!I568"")+IMPORTRANGE(""https"&amp;"://docs.google.com/spreadsheets/d/16o_4B-V7AWw_6E93bSpXj_XxVv1oVQctk-B6z1dNEWU/edit?usp=share_link"",""สงขลา!I568"")+IMPORTRANGE(""https://docs.google.com/spreadsheets/d/16cywr71Fj4fA5OGRHsZh30ZG2gwJhMAQv69oVBzYHv0/edit?usp=share_link"",""สตูล!I568"")+IMP"&amp;"ORTRANGE(""https://docs.google.com/spreadsheets/d/1vO9Sws6kMtrVtyvrAJptINXjK8TFBoX9xLYOVK_C8bQ/edit?usp=share_link"",""สุราษฎร์ธานี!I568"")"),380545.7883)</f>
        <v>380545.78830000001</v>
      </c>
      <c r="J568" s="193">
        <f t="shared" ref="J568:J569" ca="1" si="284">J570+J572+J574</f>
        <v>373950.70250000001</v>
      </c>
      <c r="K568" s="411">
        <f t="shared" ref="K568:K569" ca="1" si="285">IF(I568&gt;0,J568*100/I568,0)</f>
        <v>98.266940272953221</v>
      </c>
      <c r="L568" s="162"/>
      <c r="M568" s="162"/>
      <c r="N568" s="162"/>
      <c r="O568" s="162"/>
      <c r="P568" s="162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20.25" customHeight="1">
      <c r="A569" s="607"/>
      <c r="B569" s="608"/>
      <c r="C569" s="608"/>
      <c r="D569" s="608"/>
      <c r="E569" s="618"/>
      <c r="F569" s="618"/>
      <c r="G569" s="174"/>
      <c r="H569" s="191" t="s">
        <v>34</v>
      </c>
      <c r="I569" s="192">
        <f ca="1">IFERROR(__xludf.DUMMYFUNCTION("IMPORTRANGE(""https://docs.google.com/spreadsheets/d/1kC41EOXpGBFOW658Fs3oD8beYlym0-zO54WY-2Qnp9I/edit?usp=share_link"",""กระบี่!I569"")
+IMPORTRANGE(""https://docs.google.com/spreadsheets/d/1FbzMZY_f3MDiEuK7RpCQKrilJ_kpX0Wm7QBZ1L7EjIU/edit?usp=share_link"&amp;""",""ชุมพร!I569"")+IMPORTRANGE(""https://docs.google.com/spreadsheets/d/1v5sN-00LrXuhBxw4dkh2GrG_z4l5oAqOdJRBCsUyMaM/edit?usp=share_link"",""ตรัง!I569"")+IMPORTRANGE(""https://docs.google.com/spreadsheets/d/1T5rRTzFc79aSIvqnzkZNvwPstq829QYz_xALlO1Z0s8/edi"&amp;"t?usp=share_link"",""นครศรีธรรมราช!I569"")+IMPORTRANGE(""https://docs.google.com/spreadsheets/d/1BeghqumK0IvCmRd2QOy6_afsZq7ZtAGrSnVJy2u7WmY/edit?usp=share_link"",""นราธิวาส!I569"")+IMPORTRANGE(""https://docs.google.com/spreadsheets/d/1IwnW3-jjRf74MCLW-6P"&amp;"iFwMUffRQXZwZA7YM609NmRc/edit?usp=share_link"",""ปัตตานี!I569"")+IMPORTRANGE(""https://docs.google.com/spreadsheets/d/1vl4QWbWdFruual5o_wdo6ZSqXZ_it806oja4CctTLKs/edit?usp=share_link"",""พังงา!I569"")+IMPORTRANGE(""https://docs.google.com/spreadsheets/d/1"&amp;"b6QssHQp2FoAPSMKHOy273KNzAomaIKhtdlvuZ_zDNE/edit?usp=share_link"",""พัทลุง!I569"")+IMPORTRANGE(""https://docs.google.com/spreadsheets/d/1o7UZe4_OqlqtLDHrj01Z2YFRSZDf1DMy1n3XViHaxRc/edit?usp=share_link"",""ภูเก็ต!I569"")+IMPORTRANGE(""https://docs.google.c"&amp;"om/spreadsheets/d/1ctPm1vUzcUCPuOj9-eoHUD85PqINFqUB0TjdSWmR5-c/edit?usp=share_link"",""ยะลา!I569"")+IMPORTRANGE(""https://docs.google.com/spreadsheets/d/1YiDIE7Klmt8osgdapRqYWNr7iPGFSsiJqq46S7PYRE0/edit?usp=share_link"",""ระนอง!I569"")+IMPORTRANGE(""https"&amp;"://docs.google.com/spreadsheets/d/16o_4B-V7AWw_6E93bSpXj_XxVv1oVQctk-B6z1dNEWU/edit?usp=share_link"",""สงขลา!I569"")+IMPORTRANGE(""https://docs.google.com/spreadsheets/d/16cywr71Fj4fA5OGRHsZh30ZG2gwJhMAQv69oVBzYHv0/edit?usp=share_link"",""สตูล!I569"")+IMP"&amp;"ORTRANGE(""https://docs.google.com/spreadsheets/d/1vO9Sws6kMtrVtyvrAJptINXjK8TFBoX9xLYOVK_C8bQ/edit?usp=share_link"",""สุราษฎร์ธานี!I569"")"),42774)</f>
        <v>42774</v>
      </c>
      <c r="J569" s="193">
        <f t="shared" ca="1" si="284"/>
        <v>41699</v>
      </c>
      <c r="K569" s="411">
        <f t="shared" ca="1" si="285"/>
        <v>97.486791041286764</v>
      </c>
      <c r="L569" s="162"/>
      <c r="M569" s="162"/>
      <c r="N569" s="162"/>
      <c r="O569" s="162"/>
      <c r="P569" s="162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20.25" customHeight="1">
      <c r="A570" s="607"/>
      <c r="B570" s="608"/>
      <c r="C570" s="608"/>
      <c r="D570" s="186" t="s">
        <v>240</v>
      </c>
      <c r="E570" s="608"/>
      <c r="F570" s="618"/>
      <c r="G570" s="174"/>
      <c r="H570" s="181" t="s">
        <v>46</v>
      </c>
      <c r="I570" s="161"/>
      <c r="J570" s="182">
        <f ca="1">IFERROR(__xludf.DUMMYFUNCTION("IMPORTRANGE(""https://docs.google.com/spreadsheets/d/1kC41EOXpGBFOW658Fs3oD8beYlym0-zO54WY-2Qnp9I/edit?usp=share_link"",""กระบี่!J570"")
+IMPORTRANGE(""https://docs.google.com/spreadsheets/d/1FbzMZY_f3MDiEuK7RpCQKrilJ_kpX0Wm7QBZ1L7EjIU/edit?usp=share_link"&amp;""",""ชุมพร!J570"")+IMPORTRANGE(""https://docs.google.com/spreadsheets/d/1v5sN-00LrXuhBxw4dkh2GrG_z4l5oAqOdJRBCsUyMaM/edit?usp=share_link"",""ตรัง!J570"")+IMPORTRANGE(""https://docs.google.com/spreadsheets/d/1T5rRTzFc79aSIvqnzkZNvwPstq829QYz_xALlO1Z0s8/edi"&amp;"t?usp=share_link"",""นครศรีธรรมราช!J570"")+IMPORTRANGE(""https://docs.google.com/spreadsheets/d/1BeghqumK0IvCmRd2QOy6_afsZq7ZtAGrSnVJy2u7WmY/edit?usp=share_link"",""นราธิวาส!J570"")+IMPORTRANGE(""https://docs.google.com/spreadsheets/d/1IwnW3-jjRf74MCLW-6P"&amp;"iFwMUffRQXZwZA7YM609NmRc/edit?usp=share_link"",""ปัตตานี!J570"")+IMPORTRANGE(""https://docs.google.com/spreadsheets/d/1vl4QWbWdFruual5o_wdo6ZSqXZ_it806oja4CctTLKs/edit?usp=share_link"",""พังงา!J570"")+IMPORTRANGE(""https://docs.google.com/spreadsheets/d/1"&amp;"b6QssHQp2FoAPSMKHOy273KNzAomaIKhtdlvuZ_zDNE/edit?usp=share_link"",""พัทลุง!J570"")+IMPORTRANGE(""https://docs.google.com/spreadsheets/d/1o7UZe4_OqlqtLDHrj01Z2YFRSZDf1DMy1n3XViHaxRc/edit?usp=share_link"",""ภูเก็ต!J570"")+IMPORTRANGE(""https://docs.google.c"&amp;"om/spreadsheets/d/1ctPm1vUzcUCPuOj9-eoHUD85PqINFqUB0TjdSWmR5-c/edit?usp=share_link"",""ยะลา!J570"")+IMPORTRANGE(""https://docs.google.com/spreadsheets/d/1YiDIE7Klmt8osgdapRqYWNr7iPGFSsiJqq46S7PYRE0/edit?usp=share_link"",""ระนอง!J570"")+IMPORTRANGE(""https"&amp;"://docs.google.com/spreadsheets/d/16o_4B-V7AWw_6E93bSpXj_XxVv1oVQctk-B6z1dNEWU/edit?usp=share_link"",""สงขลา!J570"")+IMPORTRANGE(""https://docs.google.com/spreadsheets/d/16cywr71Fj4fA5OGRHsZh30ZG2gwJhMAQv69oVBzYHv0/edit?usp=share_link"",""สตูล!J570"")+IMP"&amp;"ORTRANGE(""https://docs.google.com/spreadsheets/d/1vO9Sws6kMtrVtyvrAJptINXjK8TFBoX9xLYOVK_C8bQ/edit?usp=share_link"",""สุราษฎร์ธานี!J570"")"),342778)</f>
        <v>342778</v>
      </c>
      <c r="K570" s="162"/>
      <c r="L570" s="162"/>
      <c r="M570" s="162"/>
      <c r="N570" s="162"/>
      <c r="O570" s="162"/>
      <c r="P570" s="162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20.25" customHeight="1">
      <c r="A571" s="607"/>
      <c r="B571" s="608"/>
      <c r="C571" s="608"/>
      <c r="D571" s="608"/>
      <c r="E571" s="618"/>
      <c r="F571" s="618"/>
      <c r="G571" s="174"/>
      <c r="H571" s="181" t="s">
        <v>34</v>
      </c>
      <c r="I571" s="161"/>
      <c r="J571" s="182">
        <f ca="1">IFERROR(__xludf.DUMMYFUNCTION("IMPORTRANGE(""https://docs.google.com/spreadsheets/d/1kC41EOXpGBFOW658Fs3oD8beYlym0-zO54WY-2Qnp9I/edit?usp=share_link"",""กระบี่!J571"")
+IMPORTRANGE(""https://docs.google.com/spreadsheets/d/1FbzMZY_f3MDiEuK7RpCQKrilJ_kpX0Wm7QBZ1L7EjIU/edit?usp=share_link"&amp;""",""ชุมพร!J571"")+IMPORTRANGE(""https://docs.google.com/spreadsheets/d/1v5sN-00LrXuhBxw4dkh2GrG_z4l5oAqOdJRBCsUyMaM/edit?usp=share_link"",""ตรัง!J571"")+IMPORTRANGE(""https://docs.google.com/spreadsheets/d/1T5rRTzFc79aSIvqnzkZNvwPstq829QYz_xALlO1Z0s8/edi"&amp;"t?usp=share_link"",""นครศรีธรรมราช!J571"")+IMPORTRANGE(""https://docs.google.com/spreadsheets/d/1BeghqumK0IvCmRd2QOy6_afsZq7ZtAGrSnVJy2u7WmY/edit?usp=share_link"",""นราธิวาส!J571"")+IMPORTRANGE(""https://docs.google.com/spreadsheets/d/1IwnW3-jjRf74MCLW-6P"&amp;"iFwMUffRQXZwZA7YM609NmRc/edit?usp=share_link"",""ปัตตานี!J571"")+IMPORTRANGE(""https://docs.google.com/spreadsheets/d/1vl4QWbWdFruual5o_wdo6ZSqXZ_it806oja4CctTLKs/edit?usp=share_link"",""พังงา!J571"")+IMPORTRANGE(""https://docs.google.com/spreadsheets/d/1"&amp;"b6QssHQp2FoAPSMKHOy273KNzAomaIKhtdlvuZ_zDNE/edit?usp=share_link"",""พัทลุง!J571"")+IMPORTRANGE(""https://docs.google.com/spreadsheets/d/1o7UZe4_OqlqtLDHrj01Z2YFRSZDf1DMy1n3XViHaxRc/edit?usp=share_link"",""ภูเก็ต!J571"")+IMPORTRANGE(""https://docs.google.c"&amp;"om/spreadsheets/d/1ctPm1vUzcUCPuOj9-eoHUD85PqINFqUB0TjdSWmR5-c/edit?usp=share_link"",""ยะลา!J571"")+IMPORTRANGE(""https://docs.google.com/spreadsheets/d/1YiDIE7Klmt8osgdapRqYWNr7iPGFSsiJqq46S7PYRE0/edit?usp=share_link"",""ระนอง!J571"")+IMPORTRANGE(""https"&amp;"://docs.google.com/spreadsheets/d/16o_4B-V7AWw_6E93bSpXj_XxVv1oVQctk-B6z1dNEWU/edit?usp=share_link"",""สงขลา!J571"")+IMPORTRANGE(""https://docs.google.com/spreadsheets/d/16cywr71Fj4fA5OGRHsZh30ZG2gwJhMAQv69oVBzYHv0/edit?usp=share_link"",""สตูล!J571"")+IMP"&amp;"ORTRANGE(""https://docs.google.com/spreadsheets/d/1vO9Sws6kMtrVtyvrAJptINXjK8TFBoX9xLYOVK_C8bQ/edit?usp=share_link"",""สุราษฎร์ธานี!J571"")"),38389)</f>
        <v>38389</v>
      </c>
      <c r="K571" s="162"/>
      <c r="L571" s="162"/>
      <c r="M571" s="162"/>
      <c r="N571" s="162"/>
      <c r="O571" s="162"/>
      <c r="P571" s="162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20.25" customHeight="1">
      <c r="A572" s="607"/>
      <c r="B572" s="608"/>
      <c r="C572" s="608"/>
      <c r="D572" s="186" t="s">
        <v>241</v>
      </c>
      <c r="E572" s="618"/>
      <c r="F572" s="618"/>
      <c r="G572" s="174"/>
      <c r="H572" s="181" t="s">
        <v>46</v>
      </c>
      <c r="I572" s="161"/>
      <c r="J572" s="182">
        <f ca="1">IFERROR(__xludf.DUMMYFUNCTION("IMPORTRANGE(""https://docs.google.com/spreadsheets/d/1kC41EOXpGBFOW658Fs3oD8beYlym0-zO54WY-2Qnp9I/edit?usp=share_link"",""กระบี่!J572"")
+IMPORTRANGE(""https://docs.google.com/spreadsheets/d/1FbzMZY_f3MDiEuK7RpCQKrilJ_kpX0Wm7QBZ1L7EjIU/edit?usp=share_link"&amp;""",""ชุมพร!J572"")+IMPORTRANGE(""https://docs.google.com/spreadsheets/d/1v5sN-00LrXuhBxw4dkh2GrG_z4l5oAqOdJRBCsUyMaM/edit?usp=share_link"",""ตรัง!J572"")+IMPORTRANGE(""https://docs.google.com/spreadsheets/d/1T5rRTzFc79aSIvqnzkZNvwPstq829QYz_xALlO1Z0s8/edi"&amp;"t?usp=share_link"",""นครศรีธรรมราช!J572"")+IMPORTRANGE(""https://docs.google.com/spreadsheets/d/1BeghqumK0IvCmRd2QOy6_afsZq7ZtAGrSnVJy2u7WmY/edit?usp=share_link"",""นราธิวาส!J572"")+IMPORTRANGE(""https://docs.google.com/spreadsheets/d/1IwnW3-jjRf74MCLW-6P"&amp;"iFwMUffRQXZwZA7YM609NmRc/edit?usp=share_link"",""ปัตตานี!J572"")+IMPORTRANGE(""https://docs.google.com/spreadsheets/d/1vl4QWbWdFruual5o_wdo6ZSqXZ_it806oja4CctTLKs/edit?usp=share_link"",""พังงา!J572"")+IMPORTRANGE(""https://docs.google.com/spreadsheets/d/1"&amp;"b6QssHQp2FoAPSMKHOy273KNzAomaIKhtdlvuZ_zDNE/edit?usp=share_link"",""พัทลุง!J572"")+IMPORTRANGE(""https://docs.google.com/spreadsheets/d/1o7UZe4_OqlqtLDHrj01Z2YFRSZDf1DMy1n3XViHaxRc/edit?usp=share_link"",""ภูเก็ต!J572"")+IMPORTRANGE(""https://docs.google.c"&amp;"om/spreadsheets/d/1ctPm1vUzcUCPuOj9-eoHUD85PqINFqUB0TjdSWmR5-c/edit?usp=share_link"",""ยะลา!J572"")+IMPORTRANGE(""https://docs.google.com/spreadsheets/d/1YiDIE7Klmt8osgdapRqYWNr7iPGFSsiJqq46S7PYRE0/edit?usp=share_link"",""ระนอง!J572"")+IMPORTRANGE(""https"&amp;"://docs.google.com/spreadsheets/d/16o_4B-V7AWw_6E93bSpXj_XxVv1oVQctk-B6z1dNEWU/edit?usp=share_link"",""สงขลา!J572"")+IMPORTRANGE(""https://docs.google.com/spreadsheets/d/16cywr71Fj4fA5OGRHsZh30ZG2gwJhMAQv69oVBzYHv0/edit?usp=share_link"",""สตูล!J572"")+IMP"&amp;"ORTRANGE(""https://docs.google.com/spreadsheets/d/1vO9Sws6kMtrVtyvrAJptINXjK8TFBoX9xLYOVK_C8bQ/edit?usp=share_link"",""สุราษฎร์ธานี!J572"")"),23438.245)</f>
        <v>23438.244999999999</v>
      </c>
      <c r="K572" s="162"/>
      <c r="L572" s="162"/>
      <c r="M572" s="162"/>
      <c r="N572" s="162"/>
      <c r="O572" s="162"/>
      <c r="P572" s="162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20.25" customHeight="1">
      <c r="A573" s="607"/>
      <c r="B573" s="608"/>
      <c r="C573" s="608"/>
      <c r="D573" s="618"/>
      <c r="E573" s="618"/>
      <c r="F573" s="618"/>
      <c r="G573" s="174"/>
      <c r="H573" s="181" t="s">
        <v>34</v>
      </c>
      <c r="I573" s="161"/>
      <c r="J573" s="182">
        <f ca="1">IFERROR(__xludf.DUMMYFUNCTION("IMPORTRANGE(""https://docs.google.com/spreadsheets/d/1kC41EOXpGBFOW658Fs3oD8beYlym0-zO54WY-2Qnp9I/edit?usp=share_link"",""กระบี่!J573"")
+IMPORTRANGE(""https://docs.google.com/spreadsheets/d/1FbzMZY_f3MDiEuK7RpCQKrilJ_kpX0Wm7QBZ1L7EjIU/edit?usp=share_link"&amp;""",""ชุมพร!J573"")+IMPORTRANGE(""https://docs.google.com/spreadsheets/d/1v5sN-00LrXuhBxw4dkh2GrG_z4l5oAqOdJRBCsUyMaM/edit?usp=share_link"",""ตรัง!J573"")+IMPORTRANGE(""https://docs.google.com/spreadsheets/d/1T5rRTzFc79aSIvqnzkZNvwPstq829QYz_xALlO1Z0s8/edi"&amp;"t?usp=share_link"",""นครศรีธรรมราช!J573"")+IMPORTRANGE(""https://docs.google.com/spreadsheets/d/1BeghqumK0IvCmRd2QOy6_afsZq7ZtAGrSnVJy2u7WmY/edit?usp=share_link"",""นราธิวาส!J573"")+IMPORTRANGE(""https://docs.google.com/spreadsheets/d/1IwnW3-jjRf74MCLW-6P"&amp;"iFwMUffRQXZwZA7YM609NmRc/edit?usp=share_link"",""ปัตตานี!J573"")+IMPORTRANGE(""https://docs.google.com/spreadsheets/d/1vl4QWbWdFruual5o_wdo6ZSqXZ_it806oja4CctTLKs/edit?usp=share_link"",""พังงา!J573"")+IMPORTRANGE(""https://docs.google.com/spreadsheets/d/1"&amp;"b6QssHQp2FoAPSMKHOy273KNzAomaIKhtdlvuZ_zDNE/edit?usp=share_link"",""พัทลุง!J573"")+IMPORTRANGE(""https://docs.google.com/spreadsheets/d/1o7UZe4_OqlqtLDHrj01Z2YFRSZDf1DMy1n3XViHaxRc/edit?usp=share_link"",""ภูเก็ต!J573"")+IMPORTRANGE(""https://docs.google.c"&amp;"om/spreadsheets/d/1ctPm1vUzcUCPuOj9-eoHUD85PqINFqUB0TjdSWmR5-c/edit?usp=share_link"",""ยะลา!J573"")+IMPORTRANGE(""https://docs.google.com/spreadsheets/d/1YiDIE7Klmt8osgdapRqYWNr7iPGFSsiJqq46S7PYRE0/edit?usp=share_link"",""ระนอง!J573"")+IMPORTRANGE(""https"&amp;"://docs.google.com/spreadsheets/d/16o_4B-V7AWw_6E93bSpXj_XxVv1oVQctk-B6z1dNEWU/edit?usp=share_link"",""สงขลา!J573"")+IMPORTRANGE(""https://docs.google.com/spreadsheets/d/16cywr71Fj4fA5OGRHsZh30ZG2gwJhMAQv69oVBzYHv0/edit?usp=share_link"",""สตูล!J573"")+IMP"&amp;"ORTRANGE(""https://docs.google.com/spreadsheets/d/1vO9Sws6kMtrVtyvrAJptINXjK8TFBoX9xLYOVK_C8bQ/edit?usp=share_link"",""สุราษฎร์ธานี!J573"")"),2402)</f>
        <v>2402</v>
      </c>
      <c r="K573" s="162"/>
      <c r="L573" s="162"/>
      <c r="M573" s="162"/>
      <c r="N573" s="162"/>
      <c r="O573" s="162"/>
      <c r="P573" s="162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20.25" customHeight="1">
      <c r="A574" s="607"/>
      <c r="B574" s="608"/>
      <c r="C574" s="608"/>
      <c r="D574" s="186" t="s">
        <v>242</v>
      </c>
      <c r="E574" s="618"/>
      <c r="F574" s="618"/>
      <c r="G574" s="174"/>
      <c r="H574" s="181" t="s">
        <v>46</v>
      </c>
      <c r="I574" s="161"/>
      <c r="J574" s="182">
        <f ca="1">IFERROR(__xludf.DUMMYFUNCTION("IMPORTRANGE(""https://docs.google.com/spreadsheets/d/1kC41EOXpGBFOW658Fs3oD8beYlym0-zO54WY-2Qnp9I/edit?usp=share_link"",""กระบี่!J574"")
+IMPORTRANGE(""https://docs.google.com/spreadsheets/d/1FbzMZY_f3MDiEuK7RpCQKrilJ_kpX0Wm7QBZ1L7EjIU/edit?usp=share_link"&amp;""",""ชุมพร!J574"")+IMPORTRANGE(""https://docs.google.com/spreadsheets/d/1v5sN-00LrXuhBxw4dkh2GrG_z4l5oAqOdJRBCsUyMaM/edit?usp=share_link"",""ตรัง!J574"")+IMPORTRANGE(""https://docs.google.com/spreadsheets/d/1T5rRTzFc79aSIvqnzkZNvwPstq829QYz_xALlO1Z0s8/edi"&amp;"t?usp=share_link"",""นครศรีธรรมราช!J574"")+IMPORTRANGE(""https://docs.google.com/spreadsheets/d/1BeghqumK0IvCmRd2QOy6_afsZq7ZtAGrSnVJy2u7WmY/edit?usp=share_link"",""นราธิวาส!J574"")+IMPORTRANGE(""https://docs.google.com/spreadsheets/d/1IwnW3-jjRf74MCLW-6P"&amp;"iFwMUffRQXZwZA7YM609NmRc/edit?usp=share_link"",""ปัตตานี!J574"")+IMPORTRANGE(""https://docs.google.com/spreadsheets/d/1vl4QWbWdFruual5o_wdo6ZSqXZ_it806oja4CctTLKs/edit?usp=share_link"",""พังงา!J574"")+IMPORTRANGE(""https://docs.google.com/spreadsheets/d/1"&amp;"b6QssHQp2FoAPSMKHOy273KNzAomaIKhtdlvuZ_zDNE/edit?usp=share_link"",""พัทลุง!J574"")+IMPORTRANGE(""https://docs.google.com/spreadsheets/d/1o7UZe4_OqlqtLDHrj01Z2YFRSZDf1DMy1n3XViHaxRc/edit?usp=share_link"",""ภูเก็ต!J574"")+IMPORTRANGE(""https://docs.google.c"&amp;"om/spreadsheets/d/1ctPm1vUzcUCPuOj9-eoHUD85PqINFqUB0TjdSWmR5-c/edit?usp=share_link"",""ยะลา!J574"")+IMPORTRANGE(""https://docs.google.com/spreadsheets/d/1YiDIE7Klmt8osgdapRqYWNr7iPGFSsiJqq46S7PYRE0/edit?usp=share_link"",""ระนอง!J574"")+IMPORTRANGE(""https"&amp;"://docs.google.com/spreadsheets/d/16o_4B-V7AWw_6E93bSpXj_XxVv1oVQctk-B6z1dNEWU/edit?usp=share_link"",""สงขลา!J574"")+IMPORTRANGE(""https://docs.google.com/spreadsheets/d/16cywr71Fj4fA5OGRHsZh30ZG2gwJhMAQv69oVBzYHv0/edit?usp=share_link"",""สตูล!J574"")+IMP"&amp;"ORTRANGE(""https://docs.google.com/spreadsheets/d/1vO9Sws6kMtrVtyvrAJptINXjK8TFBoX9xLYOVK_C8bQ/edit?usp=share_link"",""สุราษฎร์ธานี!J574"")"),7734.4575)</f>
        <v>7734.4575000000004</v>
      </c>
      <c r="K574" s="162"/>
      <c r="L574" s="162"/>
      <c r="M574" s="162"/>
      <c r="N574" s="162"/>
      <c r="O574" s="162"/>
      <c r="P574" s="162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20.25" customHeight="1">
      <c r="A575" s="607"/>
      <c r="B575" s="608"/>
      <c r="C575" s="608"/>
      <c r="D575" s="608"/>
      <c r="E575" s="618"/>
      <c r="F575" s="618"/>
      <c r="G575" s="174"/>
      <c r="H575" s="181" t="s">
        <v>34</v>
      </c>
      <c r="I575" s="161"/>
      <c r="J575" s="182">
        <f ca="1">IFERROR(__xludf.DUMMYFUNCTION("IMPORTRANGE(""https://docs.google.com/spreadsheets/d/1kC41EOXpGBFOW658Fs3oD8beYlym0-zO54WY-2Qnp9I/edit?usp=share_link"",""กระบี่!J575"")
+IMPORTRANGE(""https://docs.google.com/spreadsheets/d/1FbzMZY_f3MDiEuK7RpCQKrilJ_kpX0Wm7QBZ1L7EjIU/edit?usp=share_link"&amp;""",""ชุมพร!J575"")+IMPORTRANGE(""https://docs.google.com/spreadsheets/d/1v5sN-00LrXuhBxw4dkh2GrG_z4l5oAqOdJRBCsUyMaM/edit?usp=share_link"",""ตรัง!J575"")+IMPORTRANGE(""https://docs.google.com/spreadsheets/d/1T5rRTzFc79aSIvqnzkZNvwPstq829QYz_xALlO1Z0s8/edi"&amp;"t?usp=share_link"",""นครศรีธรรมราช!J575"")+IMPORTRANGE(""https://docs.google.com/spreadsheets/d/1BeghqumK0IvCmRd2QOy6_afsZq7ZtAGrSnVJy2u7WmY/edit?usp=share_link"",""นราธิวาส!J575"")+IMPORTRANGE(""https://docs.google.com/spreadsheets/d/1IwnW3-jjRf74MCLW-6P"&amp;"iFwMUffRQXZwZA7YM609NmRc/edit?usp=share_link"",""ปัตตานี!J575"")+IMPORTRANGE(""https://docs.google.com/spreadsheets/d/1vl4QWbWdFruual5o_wdo6ZSqXZ_it806oja4CctTLKs/edit?usp=share_link"",""พังงา!J575"")+IMPORTRANGE(""https://docs.google.com/spreadsheets/d/1"&amp;"b6QssHQp2FoAPSMKHOy273KNzAomaIKhtdlvuZ_zDNE/edit?usp=share_link"",""พัทลุง!J575"")+IMPORTRANGE(""https://docs.google.com/spreadsheets/d/1o7UZe4_OqlqtLDHrj01Z2YFRSZDf1DMy1n3XViHaxRc/edit?usp=share_link"",""ภูเก็ต!J575"")+IMPORTRANGE(""https://docs.google.c"&amp;"om/spreadsheets/d/1ctPm1vUzcUCPuOj9-eoHUD85PqINFqUB0TjdSWmR5-c/edit?usp=share_link"",""ยะลา!J575"")+IMPORTRANGE(""https://docs.google.com/spreadsheets/d/1YiDIE7Klmt8osgdapRqYWNr7iPGFSsiJqq46S7PYRE0/edit?usp=share_link"",""ระนอง!J575"")+IMPORTRANGE(""https"&amp;"://docs.google.com/spreadsheets/d/16o_4B-V7AWw_6E93bSpXj_XxVv1oVQctk-B6z1dNEWU/edit?usp=share_link"",""สงขลา!J575"")+IMPORTRANGE(""https://docs.google.com/spreadsheets/d/16cywr71Fj4fA5OGRHsZh30ZG2gwJhMAQv69oVBzYHv0/edit?usp=share_link"",""สตูล!J575"")+IMP"&amp;"ORTRANGE(""https://docs.google.com/spreadsheets/d/1vO9Sws6kMtrVtyvrAJptINXjK8TFBoX9xLYOVK_C8bQ/edit?usp=share_link"",""สุราษฎร์ธานี!J575"")"),908)</f>
        <v>908</v>
      </c>
      <c r="K575" s="162"/>
      <c r="L575" s="162"/>
      <c r="M575" s="162"/>
      <c r="N575" s="162"/>
      <c r="O575" s="162"/>
      <c r="P575" s="162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20.25" customHeight="1">
      <c r="A576" s="607"/>
      <c r="B576" s="608"/>
      <c r="C576" s="621" t="s">
        <v>243</v>
      </c>
      <c r="D576" s="608"/>
      <c r="E576" s="608"/>
      <c r="F576" s="618"/>
      <c r="G576" s="174"/>
      <c r="H576" s="191" t="s">
        <v>46</v>
      </c>
      <c r="I576" s="192">
        <f ca="1">IFERROR(__xludf.DUMMYFUNCTION("IMPORTRANGE(""https://docs.google.com/spreadsheets/d/1kC41EOXpGBFOW658Fs3oD8beYlym0-zO54WY-2Qnp9I/edit?usp=share_link"",""กระบี่!I576"")
+IMPORTRANGE(""https://docs.google.com/spreadsheets/d/1FbzMZY_f3MDiEuK7RpCQKrilJ_kpX0Wm7QBZ1L7EjIU/edit?usp=share_link"&amp;""",""ชุมพร!I576"")+IMPORTRANGE(""https://docs.google.com/spreadsheets/d/1v5sN-00LrXuhBxw4dkh2GrG_z4l5oAqOdJRBCsUyMaM/edit?usp=share_link"",""ตรัง!I576"")+IMPORTRANGE(""https://docs.google.com/spreadsheets/d/1T5rRTzFc79aSIvqnzkZNvwPstq829QYz_xALlO1Z0s8/edi"&amp;"t?usp=share_link"",""นครศรีธรรมราช!I576"")+IMPORTRANGE(""https://docs.google.com/spreadsheets/d/1BeghqumK0IvCmRd2QOy6_afsZq7ZtAGrSnVJy2u7WmY/edit?usp=share_link"",""นราธิวาส!I576"")+IMPORTRANGE(""https://docs.google.com/spreadsheets/d/1IwnW3-jjRf74MCLW-6P"&amp;"iFwMUffRQXZwZA7YM609NmRc/edit?usp=share_link"",""ปัตตานี!I576"")+IMPORTRANGE(""https://docs.google.com/spreadsheets/d/1vl4QWbWdFruual5o_wdo6ZSqXZ_it806oja4CctTLKs/edit?usp=share_link"",""พังงา!I576"")+IMPORTRANGE(""https://docs.google.com/spreadsheets/d/1"&amp;"b6QssHQp2FoAPSMKHOy273KNzAomaIKhtdlvuZ_zDNE/edit?usp=share_link"",""พัทลุง!I576"")+IMPORTRANGE(""https://docs.google.com/spreadsheets/d/1o7UZe4_OqlqtLDHrj01Z2YFRSZDf1DMy1n3XViHaxRc/edit?usp=share_link"",""ภูเก็ต!I576"")+IMPORTRANGE(""https://docs.google.c"&amp;"om/spreadsheets/d/1ctPm1vUzcUCPuOj9-eoHUD85PqINFqUB0TjdSWmR5-c/edit?usp=share_link"",""ยะลา!I576"")+IMPORTRANGE(""https://docs.google.com/spreadsheets/d/1YiDIE7Klmt8osgdapRqYWNr7iPGFSsiJqq46S7PYRE0/edit?usp=share_link"",""ระนอง!I576"")+IMPORTRANGE(""https"&amp;"://docs.google.com/spreadsheets/d/16o_4B-V7AWw_6E93bSpXj_XxVv1oVQctk-B6z1dNEWU/edit?usp=share_link"",""สงขลา!I576"")+IMPORTRANGE(""https://docs.google.com/spreadsheets/d/16cywr71Fj4fA5OGRHsZh30ZG2gwJhMAQv69oVBzYHv0/edit?usp=share_link"",""สตูล!I576"")+IMP"&amp;"ORTRANGE(""https://docs.google.com/spreadsheets/d/1vO9Sws6kMtrVtyvrAJptINXjK8TFBoX9xLYOVK_C8bQ/edit?usp=share_link"",""สุราษฎร์ธานี!I576"")"),380545.7883)</f>
        <v>380545.78830000001</v>
      </c>
      <c r="J576" s="193">
        <f t="shared" ref="J576:J577" ca="1" si="286">J578+J580+J582+J588+J590</f>
        <v>380553.31079999992</v>
      </c>
      <c r="K576" s="411">
        <f t="shared" ref="K576:K577" ca="1" si="287">IF(I576&gt;0,J576*100/I576,0)</f>
        <v>100.00197676606368</v>
      </c>
      <c r="L576" s="162"/>
      <c r="M576" s="162"/>
      <c r="N576" s="162"/>
      <c r="O576" s="162"/>
      <c r="P576" s="162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20.25" customHeight="1">
      <c r="A577" s="607"/>
      <c r="B577" s="608"/>
      <c r="C577" s="608"/>
      <c r="D577" s="608"/>
      <c r="E577" s="618"/>
      <c r="F577" s="618"/>
      <c r="G577" s="174"/>
      <c r="H577" s="191" t="s">
        <v>34</v>
      </c>
      <c r="I577" s="192">
        <f ca="1">IFERROR(__xludf.DUMMYFUNCTION("IMPORTRANGE(""https://docs.google.com/spreadsheets/d/1kC41EOXpGBFOW658Fs3oD8beYlym0-zO54WY-2Qnp9I/edit?usp=share_link"",""กระบี่!I577"")
+IMPORTRANGE(""https://docs.google.com/spreadsheets/d/1FbzMZY_f3MDiEuK7RpCQKrilJ_kpX0Wm7QBZ1L7EjIU/edit?usp=share_link"&amp;""",""ชุมพร!I577"")+IMPORTRANGE(""https://docs.google.com/spreadsheets/d/1v5sN-00LrXuhBxw4dkh2GrG_z4l5oAqOdJRBCsUyMaM/edit?usp=share_link"",""ตรัง!I577"")+IMPORTRANGE(""https://docs.google.com/spreadsheets/d/1T5rRTzFc79aSIvqnzkZNvwPstq829QYz_xALlO1Z0s8/edi"&amp;"t?usp=share_link"",""นครศรีธรรมราช!I577"")+IMPORTRANGE(""https://docs.google.com/spreadsheets/d/1BeghqumK0IvCmRd2QOy6_afsZq7ZtAGrSnVJy2u7WmY/edit?usp=share_link"",""นราธิวาส!I577"")+IMPORTRANGE(""https://docs.google.com/spreadsheets/d/1IwnW3-jjRf74MCLW-6P"&amp;"iFwMUffRQXZwZA7YM609NmRc/edit?usp=share_link"",""ปัตตานี!I577"")+IMPORTRANGE(""https://docs.google.com/spreadsheets/d/1vl4QWbWdFruual5o_wdo6ZSqXZ_it806oja4CctTLKs/edit?usp=share_link"",""พังงา!I577"")+IMPORTRANGE(""https://docs.google.com/spreadsheets/d/1"&amp;"b6QssHQp2FoAPSMKHOy273KNzAomaIKhtdlvuZ_zDNE/edit?usp=share_link"",""พัทลุง!I577"")+IMPORTRANGE(""https://docs.google.com/spreadsheets/d/1o7UZe4_OqlqtLDHrj01Z2YFRSZDf1DMy1n3XViHaxRc/edit?usp=share_link"",""ภูเก็ต!I577"")+IMPORTRANGE(""https://docs.google.c"&amp;"om/spreadsheets/d/1ctPm1vUzcUCPuOj9-eoHUD85PqINFqUB0TjdSWmR5-c/edit?usp=share_link"",""ยะลา!I577"")+IMPORTRANGE(""https://docs.google.com/spreadsheets/d/1YiDIE7Klmt8osgdapRqYWNr7iPGFSsiJqq46S7PYRE0/edit?usp=share_link"",""ระนอง!I577"")+IMPORTRANGE(""https"&amp;"://docs.google.com/spreadsheets/d/16o_4B-V7AWw_6E93bSpXj_XxVv1oVQctk-B6z1dNEWU/edit?usp=share_link"",""สงขลา!I577"")+IMPORTRANGE(""https://docs.google.com/spreadsheets/d/16cywr71Fj4fA5OGRHsZh30ZG2gwJhMAQv69oVBzYHv0/edit?usp=share_link"",""สตูล!I577"")+IMP"&amp;"ORTRANGE(""https://docs.google.com/spreadsheets/d/1vO9Sws6kMtrVtyvrAJptINXjK8TFBoX9xLYOVK_C8bQ/edit?usp=share_link"",""สุราษฎร์ธานี!I577"")"),42774)</f>
        <v>42774</v>
      </c>
      <c r="J577" s="193">
        <f t="shared" ca="1" si="286"/>
        <v>42774</v>
      </c>
      <c r="K577" s="411">
        <f t="shared" ca="1" si="287"/>
        <v>100</v>
      </c>
      <c r="L577" s="162"/>
      <c r="M577" s="162"/>
      <c r="N577" s="162"/>
      <c r="O577" s="162"/>
      <c r="P577" s="162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20.25" customHeight="1">
      <c r="A578" s="607"/>
      <c r="B578" s="608"/>
      <c r="C578" s="608"/>
      <c r="D578" s="186" t="s">
        <v>244</v>
      </c>
      <c r="E578" s="618"/>
      <c r="F578" s="618"/>
      <c r="G578" s="174"/>
      <c r="H578" s="181" t="s">
        <v>46</v>
      </c>
      <c r="I578" s="161"/>
      <c r="J578" s="182">
        <f ca="1">IFERROR(__xludf.DUMMYFUNCTION("IMPORTRANGE(""https://docs.google.com/spreadsheets/d/1kC41EOXpGBFOW658Fs3oD8beYlym0-zO54WY-2Qnp9I/edit?usp=share_link"",""กระบี่!J578"")
+IMPORTRANGE(""https://docs.google.com/spreadsheets/d/1FbzMZY_f3MDiEuK7RpCQKrilJ_kpX0Wm7QBZ1L7EjIU/edit?usp=share_link"&amp;""",""ชุมพร!J578"")+IMPORTRANGE(""https://docs.google.com/spreadsheets/d/1v5sN-00LrXuhBxw4dkh2GrG_z4l5oAqOdJRBCsUyMaM/edit?usp=share_link"",""ตรัง!J578"")+IMPORTRANGE(""https://docs.google.com/spreadsheets/d/1T5rRTzFc79aSIvqnzkZNvwPstq829QYz_xALlO1Z0s8/edi"&amp;"t?usp=share_link"",""นครศรีธรรมราช!J578"")+IMPORTRANGE(""https://docs.google.com/spreadsheets/d/1BeghqumK0IvCmRd2QOy6_afsZq7ZtAGrSnVJy2u7WmY/edit?usp=share_link"",""นราธิวาส!J578"")+IMPORTRANGE(""https://docs.google.com/spreadsheets/d/1IwnW3-jjRf74MCLW-6P"&amp;"iFwMUffRQXZwZA7YM609NmRc/edit?usp=share_link"",""ปัตตานี!J578"")+IMPORTRANGE(""https://docs.google.com/spreadsheets/d/1vl4QWbWdFruual5o_wdo6ZSqXZ_it806oja4CctTLKs/edit?usp=share_link"",""พังงา!J578"")+IMPORTRANGE(""https://docs.google.com/spreadsheets/d/1"&amp;"b6QssHQp2FoAPSMKHOy273KNzAomaIKhtdlvuZ_zDNE/edit?usp=share_link"",""พัทลุง!J578"")+IMPORTRANGE(""https://docs.google.com/spreadsheets/d/1o7UZe4_OqlqtLDHrj01Z2YFRSZDf1DMy1n3XViHaxRc/edit?usp=share_link"",""ภูเก็ต!J578"")+IMPORTRANGE(""https://docs.google.c"&amp;"om/spreadsheets/d/1ctPm1vUzcUCPuOj9-eoHUD85PqINFqUB0TjdSWmR5-c/edit?usp=share_link"",""ยะลา!J578"")+IMPORTRANGE(""https://docs.google.com/spreadsheets/d/1YiDIE7Klmt8osgdapRqYWNr7iPGFSsiJqq46S7PYRE0/edit?usp=share_link"",""ระนอง!J578"")+IMPORTRANGE(""https"&amp;"://docs.google.com/spreadsheets/d/16o_4B-V7AWw_6E93bSpXj_XxVv1oVQctk-B6z1dNEWU/edit?usp=share_link"",""สงขลา!J578"")+IMPORTRANGE(""https://docs.google.com/spreadsheets/d/16cywr71Fj4fA5OGRHsZh30ZG2gwJhMAQv69oVBzYHv0/edit?usp=share_link"",""สตูล!J578"")+IMP"&amp;"ORTRANGE(""https://docs.google.com/spreadsheets/d/1vO9Sws6kMtrVtyvrAJptINXjK8TFBoX9xLYOVK_C8bQ/edit?usp=share_link"",""สุราษฎร์ธานี!J578"")"),352794.3043)</f>
        <v>352794.30430000002</v>
      </c>
      <c r="K578" s="162"/>
      <c r="L578" s="162"/>
      <c r="M578" s="162"/>
      <c r="N578" s="162"/>
      <c r="O578" s="162"/>
      <c r="P578" s="162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20.25" customHeight="1">
      <c r="A579" s="607"/>
      <c r="B579" s="608"/>
      <c r="C579" s="608"/>
      <c r="D579" s="608"/>
      <c r="E579" s="618"/>
      <c r="F579" s="618"/>
      <c r="G579" s="174"/>
      <c r="H579" s="181" t="s">
        <v>34</v>
      </c>
      <c r="I579" s="161"/>
      <c r="J579" s="182">
        <f ca="1">IFERROR(__xludf.DUMMYFUNCTION("IMPORTRANGE(""https://docs.google.com/spreadsheets/d/1kC41EOXpGBFOW658Fs3oD8beYlym0-zO54WY-2Qnp9I/edit?usp=share_link"",""กระบี่!J579"")
+IMPORTRANGE(""https://docs.google.com/spreadsheets/d/1FbzMZY_f3MDiEuK7RpCQKrilJ_kpX0Wm7QBZ1L7EjIU/edit?usp=share_link"&amp;""",""ชุมพร!J579"")+IMPORTRANGE(""https://docs.google.com/spreadsheets/d/1v5sN-00LrXuhBxw4dkh2GrG_z4l5oAqOdJRBCsUyMaM/edit?usp=share_link"",""ตรัง!J579"")+IMPORTRANGE(""https://docs.google.com/spreadsheets/d/1T5rRTzFc79aSIvqnzkZNvwPstq829QYz_xALlO1Z0s8/edi"&amp;"t?usp=share_link"",""นครศรีธรรมราช!J579"")+IMPORTRANGE(""https://docs.google.com/spreadsheets/d/1BeghqumK0IvCmRd2QOy6_afsZq7ZtAGrSnVJy2u7WmY/edit?usp=share_link"",""นราธิวาส!J579"")+IMPORTRANGE(""https://docs.google.com/spreadsheets/d/1IwnW3-jjRf74MCLW-6P"&amp;"iFwMUffRQXZwZA7YM609NmRc/edit?usp=share_link"",""ปัตตานี!J579"")+IMPORTRANGE(""https://docs.google.com/spreadsheets/d/1vl4QWbWdFruual5o_wdo6ZSqXZ_it806oja4CctTLKs/edit?usp=share_link"",""พังงา!J579"")+IMPORTRANGE(""https://docs.google.com/spreadsheets/d/1"&amp;"b6QssHQp2FoAPSMKHOy273KNzAomaIKhtdlvuZ_zDNE/edit?usp=share_link"",""พัทลุง!J579"")+IMPORTRANGE(""https://docs.google.com/spreadsheets/d/1o7UZe4_OqlqtLDHrj01Z2YFRSZDf1DMy1n3XViHaxRc/edit?usp=share_link"",""ภูเก็ต!J579"")+IMPORTRANGE(""https://docs.google.c"&amp;"om/spreadsheets/d/1ctPm1vUzcUCPuOj9-eoHUD85PqINFqUB0TjdSWmR5-c/edit?usp=share_link"",""ยะลา!J579"")+IMPORTRANGE(""https://docs.google.com/spreadsheets/d/1YiDIE7Klmt8osgdapRqYWNr7iPGFSsiJqq46S7PYRE0/edit?usp=share_link"",""ระนอง!J579"")+IMPORTRANGE(""https"&amp;"://docs.google.com/spreadsheets/d/16o_4B-V7AWw_6E93bSpXj_XxVv1oVQctk-B6z1dNEWU/edit?usp=share_link"",""สงขลา!J579"")+IMPORTRANGE(""https://docs.google.com/spreadsheets/d/16cywr71Fj4fA5OGRHsZh30ZG2gwJhMAQv69oVBzYHv0/edit?usp=share_link"",""สตูล!J579"")+IMP"&amp;"ORTRANGE(""https://docs.google.com/spreadsheets/d/1vO9Sws6kMtrVtyvrAJptINXjK8TFBoX9xLYOVK_C8bQ/edit?usp=share_link"",""สุราษฎร์ธานี!J579"")"),39899)</f>
        <v>39899</v>
      </c>
      <c r="K579" s="162"/>
      <c r="L579" s="162"/>
      <c r="M579" s="162"/>
      <c r="N579" s="162"/>
      <c r="O579" s="162"/>
      <c r="P579" s="162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20.25" customHeight="1">
      <c r="A580" s="607"/>
      <c r="B580" s="608"/>
      <c r="C580" s="608"/>
      <c r="D580" s="186" t="s">
        <v>245</v>
      </c>
      <c r="E580" s="618"/>
      <c r="F580" s="618"/>
      <c r="G580" s="174"/>
      <c r="H580" s="181" t="s">
        <v>46</v>
      </c>
      <c r="I580" s="161"/>
      <c r="J580" s="182">
        <f ca="1">IFERROR(__xludf.DUMMYFUNCTION("IMPORTRANGE(""https://docs.google.com/spreadsheets/d/1kC41EOXpGBFOW658Fs3oD8beYlym0-zO54WY-2Qnp9I/edit?usp=share_link"",""กระบี่!J580"")
+IMPORTRANGE(""https://docs.google.com/spreadsheets/d/1FbzMZY_f3MDiEuK7RpCQKrilJ_kpX0Wm7QBZ1L7EjIU/edit?usp=share_link"&amp;""",""ชุมพร!J580"")+IMPORTRANGE(""https://docs.google.com/spreadsheets/d/1v5sN-00LrXuhBxw4dkh2GrG_z4l5oAqOdJRBCsUyMaM/edit?usp=share_link"",""ตรัง!J580"")+IMPORTRANGE(""https://docs.google.com/spreadsheets/d/1T5rRTzFc79aSIvqnzkZNvwPstq829QYz_xALlO1Z0s8/edi"&amp;"t?usp=share_link"",""นครศรีธรรมราช!J580"")+IMPORTRANGE(""https://docs.google.com/spreadsheets/d/1BeghqumK0IvCmRd2QOy6_afsZq7ZtAGrSnVJy2u7WmY/edit?usp=share_link"",""นราธิวาส!J580"")+IMPORTRANGE(""https://docs.google.com/spreadsheets/d/1IwnW3-jjRf74MCLW-6P"&amp;"iFwMUffRQXZwZA7YM609NmRc/edit?usp=share_link"",""ปัตตานี!J580"")+IMPORTRANGE(""https://docs.google.com/spreadsheets/d/1vl4QWbWdFruual5o_wdo6ZSqXZ_it806oja4CctTLKs/edit?usp=share_link"",""พังงา!J580"")+IMPORTRANGE(""https://docs.google.com/spreadsheets/d/1"&amp;"b6QssHQp2FoAPSMKHOy273KNzAomaIKhtdlvuZ_zDNE/edit?usp=share_link"",""พัทลุง!J580"")+IMPORTRANGE(""https://docs.google.com/spreadsheets/d/1o7UZe4_OqlqtLDHrj01Z2YFRSZDf1DMy1n3XViHaxRc/edit?usp=share_link"",""ภูเก็ต!J580"")+IMPORTRANGE(""https://docs.google.c"&amp;"om/spreadsheets/d/1ctPm1vUzcUCPuOj9-eoHUD85PqINFqUB0TjdSWmR5-c/edit?usp=share_link"",""ยะลา!J580"")+IMPORTRANGE(""https://docs.google.com/spreadsheets/d/1YiDIE7Klmt8osgdapRqYWNr7iPGFSsiJqq46S7PYRE0/edit?usp=share_link"",""ระนอง!J580"")+IMPORTRANGE(""https"&amp;"://docs.google.com/spreadsheets/d/16o_4B-V7AWw_6E93bSpXj_XxVv1oVQctk-B6z1dNEWU/edit?usp=share_link"",""สงขลา!J580"")+IMPORTRANGE(""https://docs.google.com/spreadsheets/d/16cywr71Fj4fA5OGRHsZh30ZG2gwJhMAQv69oVBzYHv0/edit?usp=share_link"",""สตูล!J580"")+IMP"&amp;"ORTRANGE(""https://docs.google.com/spreadsheets/d/1vO9Sws6kMtrVtyvrAJptINXjK8TFBoX9xLYOVK_C8bQ/edit?usp=share_link"",""สุราษฎร์ธานี!J580"")"),196.114999999999)</f>
        <v>196.11499999999899</v>
      </c>
      <c r="K580" s="162"/>
      <c r="L580" s="162"/>
      <c r="M580" s="162"/>
      <c r="N580" s="162"/>
      <c r="O580" s="162"/>
      <c r="P580" s="162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20.25" customHeight="1">
      <c r="A581" s="607"/>
      <c r="B581" s="608"/>
      <c r="C581" s="608"/>
      <c r="D581" s="608"/>
      <c r="E581" s="618"/>
      <c r="F581" s="618"/>
      <c r="G581" s="174"/>
      <c r="H581" s="181" t="s">
        <v>34</v>
      </c>
      <c r="I581" s="161"/>
      <c r="J581" s="182">
        <f ca="1">IFERROR(__xludf.DUMMYFUNCTION("IMPORTRANGE(""https://docs.google.com/spreadsheets/d/1kC41EOXpGBFOW658Fs3oD8beYlym0-zO54WY-2Qnp9I/edit?usp=share_link"",""กระบี่!J581"")
+IMPORTRANGE(""https://docs.google.com/spreadsheets/d/1FbzMZY_f3MDiEuK7RpCQKrilJ_kpX0Wm7QBZ1L7EjIU/edit?usp=share_link"&amp;""",""ชุมพร!J581"")+IMPORTRANGE(""https://docs.google.com/spreadsheets/d/1v5sN-00LrXuhBxw4dkh2GrG_z4l5oAqOdJRBCsUyMaM/edit?usp=share_link"",""ตรัง!J581"")+IMPORTRANGE(""https://docs.google.com/spreadsheets/d/1T5rRTzFc79aSIvqnzkZNvwPstq829QYz_xALlO1Z0s8/edi"&amp;"t?usp=share_link"",""นครศรีธรรมราช!J581"")+IMPORTRANGE(""https://docs.google.com/spreadsheets/d/1BeghqumK0IvCmRd2QOy6_afsZq7ZtAGrSnVJy2u7WmY/edit?usp=share_link"",""นราธิวาส!J581"")+IMPORTRANGE(""https://docs.google.com/spreadsheets/d/1IwnW3-jjRf74MCLW-6P"&amp;"iFwMUffRQXZwZA7YM609NmRc/edit?usp=share_link"",""ปัตตานี!J581"")+IMPORTRANGE(""https://docs.google.com/spreadsheets/d/1vl4QWbWdFruual5o_wdo6ZSqXZ_it806oja4CctTLKs/edit?usp=share_link"",""พังงา!J581"")+IMPORTRANGE(""https://docs.google.com/spreadsheets/d/1"&amp;"b6QssHQp2FoAPSMKHOy273KNzAomaIKhtdlvuZ_zDNE/edit?usp=share_link"",""พัทลุง!J581"")+IMPORTRANGE(""https://docs.google.com/spreadsheets/d/1o7UZe4_OqlqtLDHrj01Z2YFRSZDf1DMy1n3XViHaxRc/edit?usp=share_link"",""ภูเก็ต!J581"")+IMPORTRANGE(""https://docs.google.c"&amp;"om/spreadsheets/d/1ctPm1vUzcUCPuOj9-eoHUD85PqINFqUB0TjdSWmR5-c/edit?usp=share_link"",""ยะลา!J581"")+IMPORTRANGE(""https://docs.google.com/spreadsheets/d/1YiDIE7Klmt8osgdapRqYWNr7iPGFSsiJqq46S7PYRE0/edit?usp=share_link"",""ระนอง!J581"")+IMPORTRANGE(""https"&amp;"://docs.google.com/spreadsheets/d/16o_4B-V7AWw_6E93bSpXj_XxVv1oVQctk-B6z1dNEWU/edit?usp=share_link"",""สงขลา!J581"")+IMPORTRANGE(""https://docs.google.com/spreadsheets/d/16cywr71Fj4fA5OGRHsZh30ZG2gwJhMAQv69oVBzYHv0/edit?usp=share_link"",""สตูล!J581"")+IMP"&amp;"ORTRANGE(""https://docs.google.com/spreadsheets/d/1vO9Sws6kMtrVtyvrAJptINXjK8TFBoX9xLYOVK_C8bQ/edit?usp=share_link"",""สุราษฎร์ธานี!J581"")"),24)</f>
        <v>24</v>
      </c>
      <c r="K581" s="162"/>
      <c r="L581" s="162"/>
      <c r="M581" s="162"/>
      <c r="N581" s="162"/>
      <c r="O581" s="162"/>
      <c r="P581" s="162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20.25" customHeight="1">
      <c r="A582" s="607"/>
      <c r="B582" s="608"/>
      <c r="C582" s="608"/>
      <c r="D582" s="186" t="s">
        <v>246</v>
      </c>
      <c r="E582" s="618"/>
      <c r="F582" s="618"/>
      <c r="G582" s="174"/>
      <c r="H582" s="181" t="s">
        <v>46</v>
      </c>
      <c r="I582" s="161"/>
      <c r="J582" s="193">
        <f t="shared" ref="J582:J583" ca="1" si="288">J584+J586</f>
        <v>8772.0190000000002</v>
      </c>
      <c r="K582" s="411"/>
      <c r="L582" s="162"/>
      <c r="M582" s="162"/>
      <c r="N582" s="162"/>
      <c r="O582" s="162"/>
      <c r="P582" s="162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20.25" customHeight="1">
      <c r="A583" s="607"/>
      <c r="B583" s="608"/>
      <c r="C583" s="608"/>
      <c r="D583" s="608"/>
      <c r="E583" s="618"/>
      <c r="F583" s="618"/>
      <c r="G583" s="174"/>
      <c r="H583" s="181" t="s">
        <v>34</v>
      </c>
      <c r="I583" s="161"/>
      <c r="J583" s="193">
        <f t="shared" ca="1" si="288"/>
        <v>1066</v>
      </c>
      <c r="K583" s="411"/>
      <c r="L583" s="162"/>
      <c r="M583" s="162"/>
      <c r="N583" s="162"/>
      <c r="O583" s="162"/>
      <c r="P583" s="162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20.25" customHeight="1">
      <c r="A584" s="607"/>
      <c r="B584" s="608"/>
      <c r="C584" s="608"/>
      <c r="D584" s="608"/>
      <c r="E584" s="186" t="s">
        <v>247</v>
      </c>
      <c r="F584" s="618"/>
      <c r="G584" s="174"/>
      <c r="H584" s="181" t="s">
        <v>46</v>
      </c>
      <c r="I584" s="161"/>
      <c r="J584" s="182">
        <f ca="1">IFERROR(__xludf.DUMMYFUNCTION("IMPORTRANGE(""https://docs.google.com/spreadsheets/d/1kC41EOXpGBFOW658Fs3oD8beYlym0-zO54WY-2Qnp9I/edit?usp=share_link"",""กระบี่!J584"")
+IMPORTRANGE(""https://docs.google.com/spreadsheets/d/1FbzMZY_f3MDiEuK7RpCQKrilJ_kpX0Wm7QBZ1L7EjIU/edit?usp=share_link"&amp;""",""ชุมพร!J584"")+IMPORTRANGE(""https://docs.google.com/spreadsheets/d/1v5sN-00LrXuhBxw4dkh2GrG_z4l5oAqOdJRBCsUyMaM/edit?usp=share_link"",""ตรัง!J584"")+IMPORTRANGE(""https://docs.google.com/spreadsheets/d/1T5rRTzFc79aSIvqnzkZNvwPstq829QYz_xALlO1Z0s8/edi"&amp;"t?usp=share_link"",""นครศรีธรรมราช!J584"")+IMPORTRANGE(""https://docs.google.com/spreadsheets/d/1BeghqumK0IvCmRd2QOy6_afsZq7ZtAGrSnVJy2u7WmY/edit?usp=share_link"",""นราธิวาส!J584"")+IMPORTRANGE(""https://docs.google.com/spreadsheets/d/1IwnW3-jjRf74MCLW-6P"&amp;"iFwMUffRQXZwZA7YM609NmRc/edit?usp=share_link"",""ปัตตานี!J584"")+IMPORTRANGE(""https://docs.google.com/spreadsheets/d/1vl4QWbWdFruual5o_wdo6ZSqXZ_it806oja4CctTLKs/edit?usp=share_link"",""พังงา!J584"")+IMPORTRANGE(""https://docs.google.com/spreadsheets/d/1"&amp;"b6QssHQp2FoAPSMKHOy273KNzAomaIKhtdlvuZ_zDNE/edit?usp=share_link"",""พัทลุง!J584"")+IMPORTRANGE(""https://docs.google.com/spreadsheets/d/1o7UZe4_OqlqtLDHrj01Z2YFRSZDf1DMy1n3XViHaxRc/edit?usp=share_link"",""ภูเก็ต!J584"")+IMPORTRANGE(""https://docs.google.c"&amp;"om/spreadsheets/d/1ctPm1vUzcUCPuOj9-eoHUD85PqINFqUB0TjdSWmR5-c/edit?usp=share_link"",""ยะลา!J584"")+IMPORTRANGE(""https://docs.google.com/spreadsheets/d/1YiDIE7Klmt8osgdapRqYWNr7iPGFSsiJqq46S7PYRE0/edit?usp=share_link"",""ระนอง!J584"")+IMPORTRANGE(""https"&amp;"://docs.google.com/spreadsheets/d/16o_4B-V7AWw_6E93bSpXj_XxVv1oVQctk-B6z1dNEWU/edit?usp=share_link"",""สงขลา!J584"")+IMPORTRANGE(""https://docs.google.com/spreadsheets/d/16cywr71Fj4fA5OGRHsZh30ZG2gwJhMAQv69oVBzYHv0/edit?usp=share_link"",""สตูล!J584"")+IMP"&amp;"ORTRANGE(""https://docs.google.com/spreadsheets/d/1vO9Sws6kMtrVtyvrAJptINXjK8TFBoX9xLYOVK_C8bQ/edit?usp=share_link"",""สุราษฎร์ธานี!J584"")"),8772.019)</f>
        <v>8772.0190000000002</v>
      </c>
      <c r="K584" s="162"/>
      <c r="L584" s="162"/>
      <c r="M584" s="162"/>
      <c r="N584" s="162"/>
      <c r="O584" s="162"/>
      <c r="P584" s="162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20.25" customHeight="1">
      <c r="A585" s="607"/>
      <c r="B585" s="608"/>
      <c r="C585" s="608"/>
      <c r="D585" s="608"/>
      <c r="E585" s="618"/>
      <c r="F585" s="618"/>
      <c r="G585" s="174"/>
      <c r="H585" s="181" t="s">
        <v>34</v>
      </c>
      <c r="I585" s="161"/>
      <c r="J585" s="182">
        <f ca="1">IFERROR(__xludf.DUMMYFUNCTION("IMPORTRANGE(""https://docs.google.com/spreadsheets/d/1kC41EOXpGBFOW658Fs3oD8beYlym0-zO54WY-2Qnp9I/edit?usp=share_link"",""กระบี่!J585"")
+IMPORTRANGE(""https://docs.google.com/spreadsheets/d/1FbzMZY_f3MDiEuK7RpCQKrilJ_kpX0Wm7QBZ1L7EjIU/edit?usp=share_link"&amp;""",""ชุมพร!J585"")+IMPORTRANGE(""https://docs.google.com/spreadsheets/d/1v5sN-00LrXuhBxw4dkh2GrG_z4l5oAqOdJRBCsUyMaM/edit?usp=share_link"",""ตรัง!J585"")+IMPORTRANGE(""https://docs.google.com/spreadsheets/d/1T5rRTzFc79aSIvqnzkZNvwPstq829QYz_xALlO1Z0s8/edi"&amp;"t?usp=share_link"",""นครศรีธรรมราช!J585"")+IMPORTRANGE(""https://docs.google.com/spreadsheets/d/1BeghqumK0IvCmRd2QOy6_afsZq7ZtAGrSnVJy2u7WmY/edit?usp=share_link"",""นราธิวาส!J585"")+IMPORTRANGE(""https://docs.google.com/spreadsheets/d/1IwnW3-jjRf74MCLW-6P"&amp;"iFwMUffRQXZwZA7YM609NmRc/edit?usp=share_link"",""ปัตตานี!J585"")+IMPORTRANGE(""https://docs.google.com/spreadsheets/d/1vl4QWbWdFruual5o_wdo6ZSqXZ_it806oja4CctTLKs/edit?usp=share_link"",""พังงา!J585"")+IMPORTRANGE(""https://docs.google.com/spreadsheets/d/1"&amp;"b6QssHQp2FoAPSMKHOy273KNzAomaIKhtdlvuZ_zDNE/edit?usp=share_link"",""พัทลุง!J585"")+IMPORTRANGE(""https://docs.google.com/spreadsheets/d/1o7UZe4_OqlqtLDHrj01Z2YFRSZDf1DMy1n3XViHaxRc/edit?usp=share_link"",""ภูเก็ต!J585"")+IMPORTRANGE(""https://docs.google.c"&amp;"om/spreadsheets/d/1ctPm1vUzcUCPuOj9-eoHUD85PqINFqUB0TjdSWmR5-c/edit?usp=share_link"",""ยะลา!J585"")+IMPORTRANGE(""https://docs.google.com/spreadsheets/d/1YiDIE7Klmt8osgdapRqYWNr7iPGFSsiJqq46S7PYRE0/edit?usp=share_link"",""ระนอง!J585"")+IMPORTRANGE(""https"&amp;"://docs.google.com/spreadsheets/d/16o_4B-V7AWw_6E93bSpXj_XxVv1oVQctk-B6z1dNEWU/edit?usp=share_link"",""สงขลา!J585"")+IMPORTRANGE(""https://docs.google.com/spreadsheets/d/16cywr71Fj4fA5OGRHsZh30ZG2gwJhMAQv69oVBzYHv0/edit?usp=share_link"",""สตูล!J585"")+IMP"&amp;"ORTRANGE(""https://docs.google.com/spreadsheets/d/1vO9Sws6kMtrVtyvrAJptINXjK8TFBoX9xLYOVK_C8bQ/edit?usp=share_link"",""สุราษฎร์ธานี!J585"")"),1066)</f>
        <v>1066</v>
      </c>
      <c r="K585" s="162"/>
      <c r="L585" s="162"/>
      <c r="M585" s="162"/>
      <c r="N585" s="162"/>
      <c r="O585" s="162"/>
      <c r="P585" s="162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20.25" customHeight="1">
      <c r="A586" s="607"/>
      <c r="B586" s="608"/>
      <c r="C586" s="608"/>
      <c r="D586" s="608"/>
      <c r="E586" s="186" t="s">
        <v>248</v>
      </c>
      <c r="F586" s="618"/>
      <c r="G586" s="174"/>
      <c r="H586" s="181" t="s">
        <v>46</v>
      </c>
      <c r="I586" s="161"/>
      <c r="J586" s="182">
        <f ca="1">IFERROR(__xludf.DUMMYFUNCTION("IMPORTRANGE(""https://docs.google.com/spreadsheets/d/1kC41EOXpGBFOW658Fs3oD8beYlym0-zO54WY-2Qnp9I/edit?usp=share_link"",""กระบี่!J586"")
+IMPORTRANGE(""https://docs.google.com/spreadsheets/d/1FbzMZY_f3MDiEuK7RpCQKrilJ_kpX0Wm7QBZ1L7EjIU/edit?usp=share_link"&amp;""",""ชุมพร!J586"")+IMPORTRANGE(""https://docs.google.com/spreadsheets/d/1v5sN-00LrXuhBxw4dkh2GrG_z4l5oAqOdJRBCsUyMaM/edit?usp=share_link"",""ตรัง!J586"")+IMPORTRANGE(""https://docs.google.com/spreadsheets/d/1T5rRTzFc79aSIvqnzkZNvwPstq829QYz_xALlO1Z0s8/edi"&amp;"t?usp=share_link"",""นครศรีธรรมราช!J586"")+IMPORTRANGE(""https://docs.google.com/spreadsheets/d/1BeghqumK0IvCmRd2QOy6_afsZq7ZtAGrSnVJy2u7WmY/edit?usp=share_link"",""นราธิวาส!J586"")+IMPORTRANGE(""https://docs.google.com/spreadsheets/d/1IwnW3-jjRf74MCLW-6P"&amp;"iFwMUffRQXZwZA7YM609NmRc/edit?usp=share_link"",""ปัตตานี!J586"")+IMPORTRANGE(""https://docs.google.com/spreadsheets/d/1vl4QWbWdFruual5o_wdo6ZSqXZ_it806oja4CctTLKs/edit?usp=share_link"",""พังงา!J586"")+IMPORTRANGE(""https://docs.google.com/spreadsheets/d/1"&amp;"b6QssHQp2FoAPSMKHOy273KNzAomaIKhtdlvuZ_zDNE/edit?usp=share_link"",""พัทลุง!J586"")+IMPORTRANGE(""https://docs.google.com/spreadsheets/d/1o7UZe4_OqlqtLDHrj01Z2YFRSZDf1DMy1n3XViHaxRc/edit?usp=share_link"",""ภูเก็ต!J586"")+IMPORTRANGE(""https://docs.google.c"&amp;"om/spreadsheets/d/1ctPm1vUzcUCPuOj9-eoHUD85PqINFqUB0TjdSWmR5-c/edit?usp=share_link"",""ยะลา!J586"")+IMPORTRANGE(""https://docs.google.com/spreadsheets/d/1YiDIE7Klmt8osgdapRqYWNr7iPGFSsiJqq46S7PYRE0/edit?usp=share_link"",""ระนอง!J586"")+IMPORTRANGE(""https"&amp;"://docs.google.com/spreadsheets/d/16o_4B-V7AWw_6E93bSpXj_XxVv1oVQctk-B6z1dNEWU/edit?usp=share_link"",""สงขลา!J586"")+IMPORTRANGE(""https://docs.google.com/spreadsheets/d/16cywr71Fj4fA5OGRHsZh30ZG2gwJhMAQv69oVBzYHv0/edit?usp=share_link"",""สตูล!J586"")+IMP"&amp;"ORTRANGE(""https://docs.google.com/spreadsheets/d/1vO9Sws6kMtrVtyvrAJptINXjK8TFBoX9xLYOVK_C8bQ/edit?usp=share_link"",""สุราษฎร์ธานี!J586"")"),0)</f>
        <v>0</v>
      </c>
      <c r="K586" s="162"/>
      <c r="L586" s="162"/>
      <c r="M586" s="162"/>
      <c r="N586" s="162"/>
      <c r="O586" s="162"/>
      <c r="P586" s="162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20.25" customHeight="1">
      <c r="A587" s="607"/>
      <c r="B587" s="608"/>
      <c r="C587" s="608"/>
      <c r="D587" s="608"/>
      <c r="E587" s="608"/>
      <c r="F587" s="618"/>
      <c r="G587" s="174"/>
      <c r="H587" s="181" t="s">
        <v>34</v>
      </c>
      <c r="I587" s="161"/>
      <c r="J587" s="182">
        <f ca="1">IFERROR(__xludf.DUMMYFUNCTION("IMPORTRANGE(""https://docs.google.com/spreadsheets/d/1kC41EOXpGBFOW658Fs3oD8beYlym0-zO54WY-2Qnp9I/edit?usp=share_link"",""กระบี่!J587"")
+IMPORTRANGE(""https://docs.google.com/spreadsheets/d/1FbzMZY_f3MDiEuK7RpCQKrilJ_kpX0Wm7QBZ1L7EjIU/edit?usp=share_link"&amp;""",""ชุมพร!J587"")+IMPORTRANGE(""https://docs.google.com/spreadsheets/d/1v5sN-00LrXuhBxw4dkh2GrG_z4l5oAqOdJRBCsUyMaM/edit?usp=share_link"",""ตรัง!J587"")+IMPORTRANGE(""https://docs.google.com/spreadsheets/d/1T5rRTzFc79aSIvqnzkZNvwPstq829QYz_xALlO1Z0s8/edi"&amp;"t?usp=share_link"",""นครศรีธรรมราช!J587"")+IMPORTRANGE(""https://docs.google.com/spreadsheets/d/1BeghqumK0IvCmRd2QOy6_afsZq7ZtAGrSnVJy2u7WmY/edit?usp=share_link"",""นราธิวาส!J587"")+IMPORTRANGE(""https://docs.google.com/spreadsheets/d/1IwnW3-jjRf74MCLW-6P"&amp;"iFwMUffRQXZwZA7YM609NmRc/edit?usp=share_link"",""ปัตตานี!J587"")+IMPORTRANGE(""https://docs.google.com/spreadsheets/d/1vl4QWbWdFruual5o_wdo6ZSqXZ_it806oja4CctTLKs/edit?usp=share_link"",""พังงา!J587"")+IMPORTRANGE(""https://docs.google.com/spreadsheets/d/1"&amp;"b6QssHQp2FoAPSMKHOy273KNzAomaIKhtdlvuZ_zDNE/edit?usp=share_link"",""พัทลุง!J587"")+IMPORTRANGE(""https://docs.google.com/spreadsheets/d/1o7UZe4_OqlqtLDHrj01Z2YFRSZDf1DMy1n3XViHaxRc/edit?usp=share_link"",""ภูเก็ต!J587"")+IMPORTRANGE(""https://docs.google.c"&amp;"om/spreadsheets/d/1ctPm1vUzcUCPuOj9-eoHUD85PqINFqUB0TjdSWmR5-c/edit?usp=share_link"",""ยะลา!J587"")+IMPORTRANGE(""https://docs.google.com/spreadsheets/d/1YiDIE7Klmt8osgdapRqYWNr7iPGFSsiJqq46S7PYRE0/edit?usp=share_link"",""ระนอง!J587"")+IMPORTRANGE(""https"&amp;"://docs.google.com/spreadsheets/d/16o_4B-V7AWw_6E93bSpXj_XxVv1oVQctk-B6z1dNEWU/edit?usp=share_link"",""สงขลา!J587"")+IMPORTRANGE(""https://docs.google.com/spreadsheets/d/16cywr71Fj4fA5OGRHsZh30ZG2gwJhMAQv69oVBzYHv0/edit?usp=share_link"",""สตูล!J587"")+IMP"&amp;"ORTRANGE(""https://docs.google.com/spreadsheets/d/1vO9Sws6kMtrVtyvrAJptINXjK8TFBoX9xLYOVK_C8bQ/edit?usp=share_link"",""สุราษฎร์ธานี!J587"")"),0)</f>
        <v>0</v>
      </c>
      <c r="K587" s="162"/>
      <c r="L587" s="162"/>
      <c r="M587" s="162"/>
      <c r="N587" s="162"/>
      <c r="O587" s="162"/>
      <c r="P587" s="162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20.25" customHeight="1">
      <c r="A588" s="607"/>
      <c r="B588" s="608"/>
      <c r="C588" s="608"/>
      <c r="D588" s="186" t="s">
        <v>249</v>
      </c>
      <c r="E588" s="618"/>
      <c r="F588" s="618"/>
      <c r="G588" s="174"/>
      <c r="H588" s="181" t="s">
        <v>46</v>
      </c>
      <c r="I588" s="161"/>
      <c r="J588" s="182">
        <f ca="1">IFERROR(__xludf.DUMMYFUNCTION("IMPORTRANGE(""https://docs.google.com/spreadsheets/d/1kC41EOXpGBFOW658Fs3oD8beYlym0-zO54WY-2Qnp9I/edit?usp=share_link"",""กระบี่!J588"")
+IMPORTRANGE(""https://docs.google.com/spreadsheets/d/1FbzMZY_f3MDiEuK7RpCQKrilJ_kpX0Wm7QBZ1L7EjIU/edit?usp=share_link"&amp;""",""ชุมพร!J588"")+IMPORTRANGE(""https://docs.google.com/spreadsheets/d/1v5sN-00LrXuhBxw4dkh2GrG_z4l5oAqOdJRBCsUyMaM/edit?usp=share_link"",""ตรัง!J588"")+IMPORTRANGE(""https://docs.google.com/spreadsheets/d/1T5rRTzFc79aSIvqnzkZNvwPstq829QYz_xALlO1Z0s8/edi"&amp;"t?usp=share_link"",""นครศรีธรรมราช!J588"")+IMPORTRANGE(""https://docs.google.com/spreadsheets/d/1BeghqumK0IvCmRd2QOy6_afsZq7ZtAGrSnVJy2u7WmY/edit?usp=share_link"",""นราธิวาส!J588"")+IMPORTRANGE(""https://docs.google.com/spreadsheets/d/1IwnW3-jjRf74MCLW-6P"&amp;"iFwMUffRQXZwZA7YM609NmRc/edit?usp=share_link"",""ปัตตานี!J588"")+IMPORTRANGE(""https://docs.google.com/spreadsheets/d/1vl4QWbWdFruual5o_wdo6ZSqXZ_it806oja4CctTLKs/edit?usp=share_link"",""พังงา!J588"")+IMPORTRANGE(""https://docs.google.com/spreadsheets/d/1"&amp;"b6QssHQp2FoAPSMKHOy273KNzAomaIKhtdlvuZ_zDNE/edit?usp=share_link"",""พัทลุง!J588"")+IMPORTRANGE(""https://docs.google.com/spreadsheets/d/1o7UZe4_OqlqtLDHrj01Z2YFRSZDf1DMy1n3XViHaxRc/edit?usp=share_link"",""ภูเก็ต!J588"")+IMPORTRANGE(""https://docs.google.c"&amp;"om/spreadsheets/d/1ctPm1vUzcUCPuOj9-eoHUD85PqINFqUB0TjdSWmR5-c/edit?usp=share_link"",""ยะลา!J588"")+IMPORTRANGE(""https://docs.google.com/spreadsheets/d/1YiDIE7Klmt8osgdapRqYWNr7iPGFSsiJqq46S7PYRE0/edit?usp=share_link"",""ระนอง!J588"")+IMPORTRANGE(""https"&amp;"://docs.google.com/spreadsheets/d/16o_4B-V7AWw_6E93bSpXj_XxVv1oVQctk-B6z1dNEWU/edit?usp=share_link"",""สงขลา!J588"")+IMPORTRANGE(""https://docs.google.com/spreadsheets/d/16cywr71Fj4fA5OGRHsZh30ZG2gwJhMAQv69oVBzYHv0/edit?usp=share_link"",""สตูล!J588"")+IMP"&amp;"ORTRANGE(""https://docs.google.com/spreadsheets/d/1vO9Sws6kMtrVtyvrAJptINXjK8TFBoX9xLYOVK_C8bQ/edit?usp=share_link"",""สุราษฎร์ธานี!J588"")"),18790.8724999999)</f>
        <v>18790.872499999899</v>
      </c>
      <c r="K588" s="162"/>
      <c r="L588" s="162"/>
      <c r="M588" s="162"/>
      <c r="N588" s="162"/>
      <c r="O588" s="162"/>
      <c r="P588" s="162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20.25" customHeight="1">
      <c r="A589" s="607"/>
      <c r="B589" s="608"/>
      <c r="C589" s="608"/>
      <c r="D589" s="608"/>
      <c r="E589" s="608"/>
      <c r="F589" s="618"/>
      <c r="G589" s="174"/>
      <c r="H589" s="181" t="s">
        <v>34</v>
      </c>
      <c r="I589" s="161"/>
      <c r="J589" s="182">
        <f ca="1">IFERROR(__xludf.DUMMYFUNCTION("IMPORTRANGE(""https://docs.google.com/spreadsheets/d/1kC41EOXpGBFOW658Fs3oD8beYlym0-zO54WY-2Qnp9I/edit?usp=share_link"",""กระบี่!J589"")
+IMPORTRANGE(""https://docs.google.com/spreadsheets/d/1FbzMZY_f3MDiEuK7RpCQKrilJ_kpX0Wm7QBZ1L7EjIU/edit?usp=share_link"&amp;""",""ชุมพร!J589"")+IMPORTRANGE(""https://docs.google.com/spreadsheets/d/1v5sN-00LrXuhBxw4dkh2GrG_z4l5oAqOdJRBCsUyMaM/edit?usp=share_link"",""ตรัง!J589"")+IMPORTRANGE(""https://docs.google.com/spreadsheets/d/1T5rRTzFc79aSIvqnzkZNvwPstq829QYz_xALlO1Z0s8/edi"&amp;"t?usp=share_link"",""นครศรีธรรมราช!J589"")+IMPORTRANGE(""https://docs.google.com/spreadsheets/d/1BeghqumK0IvCmRd2QOy6_afsZq7ZtAGrSnVJy2u7WmY/edit?usp=share_link"",""นราธิวาส!J589"")+IMPORTRANGE(""https://docs.google.com/spreadsheets/d/1IwnW3-jjRf74MCLW-6P"&amp;"iFwMUffRQXZwZA7YM609NmRc/edit?usp=share_link"",""ปัตตานี!J589"")+IMPORTRANGE(""https://docs.google.com/spreadsheets/d/1vl4QWbWdFruual5o_wdo6ZSqXZ_it806oja4CctTLKs/edit?usp=share_link"",""พังงา!J589"")+IMPORTRANGE(""https://docs.google.com/spreadsheets/d/1"&amp;"b6QssHQp2FoAPSMKHOy273KNzAomaIKhtdlvuZ_zDNE/edit?usp=share_link"",""พัทลุง!J589"")+IMPORTRANGE(""https://docs.google.com/spreadsheets/d/1o7UZe4_OqlqtLDHrj01Z2YFRSZDf1DMy1n3XViHaxRc/edit?usp=share_link"",""ภูเก็ต!J589"")+IMPORTRANGE(""https://docs.google.c"&amp;"om/spreadsheets/d/1ctPm1vUzcUCPuOj9-eoHUD85PqINFqUB0TjdSWmR5-c/edit?usp=share_link"",""ยะลา!J589"")+IMPORTRANGE(""https://docs.google.com/spreadsheets/d/1YiDIE7Klmt8osgdapRqYWNr7iPGFSsiJqq46S7PYRE0/edit?usp=share_link"",""ระนอง!J589"")+IMPORTRANGE(""https"&amp;"://docs.google.com/spreadsheets/d/16o_4B-V7AWw_6E93bSpXj_XxVv1oVQctk-B6z1dNEWU/edit?usp=share_link"",""สงขลา!J589"")+IMPORTRANGE(""https://docs.google.com/spreadsheets/d/16cywr71Fj4fA5OGRHsZh30ZG2gwJhMAQv69oVBzYHv0/edit?usp=share_link"",""สตูล!J589"")+IMP"&amp;"ORTRANGE(""https://docs.google.com/spreadsheets/d/1vO9Sws6kMtrVtyvrAJptINXjK8TFBoX9xLYOVK_C8bQ/edit?usp=share_link"",""สุราษฎร์ธานี!J589"")"),1785)</f>
        <v>1785</v>
      </c>
      <c r="K589" s="162"/>
      <c r="L589" s="162"/>
      <c r="M589" s="162"/>
      <c r="N589" s="162"/>
      <c r="O589" s="162"/>
      <c r="P589" s="162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20.25" customHeight="1">
      <c r="A590" s="607"/>
      <c r="B590" s="608"/>
      <c r="C590" s="608"/>
      <c r="D590" s="186" t="s">
        <v>250</v>
      </c>
      <c r="E590" s="618"/>
      <c r="F590" s="618"/>
      <c r="G590" s="174"/>
      <c r="H590" s="181" t="s">
        <v>46</v>
      </c>
      <c r="I590" s="161"/>
      <c r="J590" s="182">
        <f ca="1">IFERROR(__xludf.DUMMYFUNCTION("IMPORTRANGE(""https://docs.google.com/spreadsheets/d/1kC41EOXpGBFOW658Fs3oD8beYlym0-zO54WY-2Qnp9I/edit?usp=share_link"",""กระบี่!J590"")
+IMPORTRANGE(""https://docs.google.com/spreadsheets/d/1FbzMZY_f3MDiEuK7RpCQKrilJ_kpX0Wm7QBZ1L7EjIU/edit?usp=share_link"&amp;""",""ชุมพร!J590"")+IMPORTRANGE(""https://docs.google.com/spreadsheets/d/1v5sN-00LrXuhBxw4dkh2GrG_z4l5oAqOdJRBCsUyMaM/edit?usp=share_link"",""ตรัง!J590"")+IMPORTRANGE(""https://docs.google.com/spreadsheets/d/1T5rRTzFc79aSIvqnzkZNvwPstq829QYz_xALlO1Z0s8/edi"&amp;"t?usp=share_link"",""นครศรีธรรมราช!J590"")+IMPORTRANGE(""https://docs.google.com/spreadsheets/d/1BeghqumK0IvCmRd2QOy6_afsZq7ZtAGrSnVJy2u7WmY/edit?usp=share_link"",""นราธิวาส!J590"")+IMPORTRANGE(""https://docs.google.com/spreadsheets/d/1IwnW3-jjRf74MCLW-6P"&amp;"iFwMUffRQXZwZA7YM609NmRc/edit?usp=share_link"",""ปัตตานี!J590"")+IMPORTRANGE(""https://docs.google.com/spreadsheets/d/1vl4QWbWdFruual5o_wdo6ZSqXZ_it806oja4CctTLKs/edit?usp=share_link"",""พังงา!J590"")+IMPORTRANGE(""https://docs.google.com/spreadsheets/d/1"&amp;"b6QssHQp2FoAPSMKHOy273KNzAomaIKhtdlvuZ_zDNE/edit?usp=share_link"",""พัทลุง!J590"")+IMPORTRANGE(""https://docs.google.com/spreadsheets/d/1o7UZe4_OqlqtLDHrj01Z2YFRSZDf1DMy1n3XViHaxRc/edit?usp=share_link"",""ภูเก็ต!J590"")+IMPORTRANGE(""https://docs.google.c"&amp;"om/spreadsheets/d/1ctPm1vUzcUCPuOj9-eoHUD85PqINFqUB0TjdSWmR5-c/edit?usp=share_link"",""ยะลา!J590"")+IMPORTRANGE(""https://docs.google.com/spreadsheets/d/1YiDIE7Klmt8osgdapRqYWNr7iPGFSsiJqq46S7PYRE0/edit?usp=share_link"",""ระนอง!J590"")+IMPORTRANGE(""https"&amp;"://docs.google.com/spreadsheets/d/16o_4B-V7AWw_6E93bSpXj_XxVv1oVQctk-B6z1dNEWU/edit?usp=share_link"",""สงขลา!J590"")+IMPORTRANGE(""https://docs.google.com/spreadsheets/d/16cywr71Fj4fA5OGRHsZh30ZG2gwJhMAQv69oVBzYHv0/edit?usp=share_link"",""สตูล!J590"")+IMP"&amp;"ORTRANGE(""https://docs.google.com/spreadsheets/d/1vO9Sws6kMtrVtyvrAJptINXjK8TFBoX9xLYOVK_C8bQ/edit?usp=share_link"",""สุราษฎร์ธานี!J590"")"),0)</f>
        <v>0</v>
      </c>
      <c r="K590" s="162"/>
      <c r="L590" s="162"/>
      <c r="M590" s="162"/>
      <c r="N590" s="162"/>
      <c r="O590" s="162"/>
      <c r="P590" s="162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20.25" customHeight="1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f ca="1">IFERROR(__xludf.DUMMYFUNCTION("IMPORTRANGE(""https://docs.google.com/spreadsheets/d/1kC41EOXpGBFOW658Fs3oD8beYlym0-zO54WY-2Qnp9I/edit?usp=share_link"",""กระบี่!J591"")
+IMPORTRANGE(""https://docs.google.com/spreadsheets/d/1FbzMZY_f3MDiEuK7RpCQKrilJ_kpX0Wm7QBZ1L7EjIU/edit?usp=share_link"&amp;""",""ชุมพร!J591"")+IMPORTRANGE(""https://docs.google.com/spreadsheets/d/1v5sN-00LrXuhBxw4dkh2GrG_z4l5oAqOdJRBCsUyMaM/edit?usp=share_link"",""ตรัง!J591"")+IMPORTRANGE(""https://docs.google.com/spreadsheets/d/1T5rRTzFc79aSIvqnzkZNvwPstq829QYz_xALlO1Z0s8/edi"&amp;"t?usp=share_link"",""นครศรีธรรมราช!J591"")+IMPORTRANGE(""https://docs.google.com/spreadsheets/d/1BeghqumK0IvCmRd2QOy6_afsZq7ZtAGrSnVJy2u7WmY/edit?usp=share_link"",""นราธิวาส!J591"")+IMPORTRANGE(""https://docs.google.com/spreadsheets/d/1IwnW3-jjRf74MCLW-6P"&amp;"iFwMUffRQXZwZA7YM609NmRc/edit?usp=share_link"",""ปัตตานี!J591"")+IMPORTRANGE(""https://docs.google.com/spreadsheets/d/1vl4QWbWdFruual5o_wdo6ZSqXZ_it806oja4CctTLKs/edit?usp=share_link"",""พังงา!J591"")+IMPORTRANGE(""https://docs.google.com/spreadsheets/d/1"&amp;"b6QssHQp2FoAPSMKHOy273KNzAomaIKhtdlvuZ_zDNE/edit?usp=share_link"",""พัทลุง!J591"")+IMPORTRANGE(""https://docs.google.com/spreadsheets/d/1o7UZe4_OqlqtLDHrj01Z2YFRSZDf1DMy1n3XViHaxRc/edit?usp=share_link"",""ภูเก็ต!J591"")+IMPORTRANGE(""https://docs.google.c"&amp;"om/spreadsheets/d/1ctPm1vUzcUCPuOj9-eoHUD85PqINFqUB0TjdSWmR5-c/edit?usp=share_link"",""ยะลา!J591"")+IMPORTRANGE(""https://docs.google.com/spreadsheets/d/1YiDIE7Klmt8osgdapRqYWNr7iPGFSsiJqq46S7PYRE0/edit?usp=share_link"",""ระนอง!J591"")+IMPORTRANGE(""https"&amp;"://docs.google.com/spreadsheets/d/16o_4B-V7AWw_6E93bSpXj_XxVv1oVQctk-B6z1dNEWU/edit?usp=share_link"",""สงขลา!J591"")+IMPORTRANGE(""https://docs.google.com/spreadsheets/d/16cywr71Fj4fA5OGRHsZh30ZG2gwJhMAQv69oVBzYHv0/edit?usp=share_link"",""สตูล!J591"")+IMP"&amp;"ORTRANGE(""https://docs.google.com/spreadsheets/d/1vO9Sws6kMtrVtyvrAJptINXjK8TFBoX9xLYOVK_C8bQ/edit?usp=share_link"",""สุราษฎร์ธานี!J591"")"),0)</f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20.25" customHeight="1">
      <c r="A592" s="691"/>
      <c r="B592" s="692" t="s">
        <v>251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89">I593</f>
        <v>44574.529999999897</v>
      </c>
      <c r="J592" s="675">
        <f t="shared" ca="1" si="289"/>
        <v>43919.997500000005</v>
      </c>
      <c r="K592" s="676">
        <f t="shared" ref="K592:K594" ca="1" si="290">IF(I592&gt;0,J592*100/I592,0)</f>
        <v>98.531599772336605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20.25" customHeight="1">
      <c r="A593" s="607"/>
      <c r="B593" s="608"/>
      <c r="C593" s="621" t="s">
        <v>252</v>
      </c>
      <c r="D593" s="608"/>
      <c r="E593" s="608"/>
      <c r="F593" s="618"/>
      <c r="G593" s="174"/>
      <c r="H593" s="191" t="s">
        <v>46</v>
      </c>
      <c r="I593" s="703">
        <f ca="1">IFERROR(__xludf.DUMMYFUNCTION("IMPORTRANGE(""https://docs.google.com/spreadsheets/d/1kC41EOXpGBFOW658Fs3oD8beYlym0-zO54WY-2Qnp9I/edit?usp=share_link"",""กระบี่!I593"")
+IMPORTRANGE(""https://docs.google.com/spreadsheets/d/1FbzMZY_f3MDiEuK7RpCQKrilJ_kpX0Wm7QBZ1L7EjIU/edit?usp=share_link"&amp;""",""ชุมพร!I593"")+IMPORTRANGE(""https://docs.google.com/spreadsheets/d/1v5sN-00LrXuhBxw4dkh2GrG_z4l5oAqOdJRBCsUyMaM/edit?usp=share_link"",""ตรัง!I593"")+IMPORTRANGE(""https://docs.google.com/spreadsheets/d/1T5rRTzFc79aSIvqnzkZNvwPstq829QYz_xALlO1Z0s8/edi"&amp;"t?usp=share_link"",""นครศรีธรรมราช!I593"")+IMPORTRANGE(""https://docs.google.com/spreadsheets/d/1BeghqumK0IvCmRd2QOy6_afsZq7ZtAGrSnVJy2u7WmY/edit?usp=share_link"",""นราธิวาส!I593"")+IMPORTRANGE(""https://docs.google.com/spreadsheets/d/1IwnW3-jjRf74MCLW-6P"&amp;"iFwMUffRQXZwZA7YM609NmRc/edit?usp=share_link"",""ปัตตานี!I593"")+IMPORTRANGE(""https://docs.google.com/spreadsheets/d/1vl4QWbWdFruual5o_wdo6ZSqXZ_it806oja4CctTLKs/edit?usp=share_link"",""พังงา!I593"")+IMPORTRANGE(""https://docs.google.com/spreadsheets/d/1"&amp;"b6QssHQp2FoAPSMKHOy273KNzAomaIKhtdlvuZ_zDNE/edit?usp=share_link"",""พัทลุง!I593"")+IMPORTRANGE(""https://docs.google.com/spreadsheets/d/1o7UZe4_OqlqtLDHrj01Z2YFRSZDf1DMy1n3XViHaxRc/edit?usp=share_link"",""ภูเก็ต!I593"")+IMPORTRANGE(""https://docs.google.c"&amp;"om/spreadsheets/d/1ctPm1vUzcUCPuOj9-eoHUD85PqINFqUB0TjdSWmR5-c/edit?usp=share_link"",""ยะลา!I593"")+IMPORTRANGE(""https://docs.google.com/spreadsheets/d/1YiDIE7Klmt8osgdapRqYWNr7iPGFSsiJqq46S7PYRE0/edit?usp=share_link"",""ระนอง!I593"")+IMPORTRANGE(""https"&amp;"://docs.google.com/spreadsheets/d/16o_4B-V7AWw_6E93bSpXj_XxVv1oVQctk-B6z1dNEWU/edit?usp=share_link"",""สงขลา!I593"")+IMPORTRANGE(""https://docs.google.com/spreadsheets/d/16cywr71Fj4fA5OGRHsZh30ZG2gwJhMAQv69oVBzYHv0/edit?usp=share_link"",""สตูล!I593"")+IMP"&amp;"ORTRANGE(""https://docs.google.com/spreadsheets/d/1vO9Sws6kMtrVtyvrAJptINXjK8TFBoX9xLYOVK_C8bQ/edit?usp=share_link"",""สุราษฎร์ธานี!I593"")"),44574.5299999999)</f>
        <v>44574.529999999897</v>
      </c>
      <c r="J593" s="192">
        <f t="shared" ref="J593:J594" ca="1" si="291">J595+J603+J609</f>
        <v>43919.997500000005</v>
      </c>
      <c r="K593" s="411">
        <f t="shared" ca="1" si="290"/>
        <v>98.531599772336605</v>
      </c>
      <c r="L593" s="162"/>
      <c r="M593" s="162"/>
      <c r="N593" s="162"/>
      <c r="O593" s="162"/>
      <c r="P593" s="162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20.25" customHeight="1">
      <c r="A594" s="607"/>
      <c r="B594" s="608"/>
      <c r="C594" s="608"/>
      <c r="D594" s="608"/>
      <c r="E594" s="618"/>
      <c r="F594" s="618"/>
      <c r="G594" s="174"/>
      <c r="H594" s="191" t="s">
        <v>34</v>
      </c>
      <c r="I594" s="192">
        <f ca="1">IFERROR(__xludf.DUMMYFUNCTION("IMPORTRANGE(""https://docs.google.com/spreadsheets/d/1kC41EOXpGBFOW658Fs3oD8beYlym0-zO54WY-2Qnp9I/edit?usp=share_link"",""กระบี่!I594"")
+IMPORTRANGE(""https://docs.google.com/spreadsheets/d/1FbzMZY_f3MDiEuK7RpCQKrilJ_kpX0Wm7QBZ1L7EjIU/edit?usp=share_link"&amp;""",""ชุมพร!I594"")+IMPORTRANGE(""https://docs.google.com/spreadsheets/d/1v5sN-00LrXuhBxw4dkh2GrG_z4l5oAqOdJRBCsUyMaM/edit?usp=share_link"",""ตรัง!I594"")+IMPORTRANGE(""https://docs.google.com/spreadsheets/d/1T5rRTzFc79aSIvqnzkZNvwPstq829QYz_xALlO1Z0s8/edi"&amp;"t?usp=share_link"",""นครศรีธรรมราช!I594"")+IMPORTRANGE(""https://docs.google.com/spreadsheets/d/1BeghqumK0IvCmRd2QOy6_afsZq7ZtAGrSnVJy2u7WmY/edit?usp=share_link"",""นราธิวาส!I594"")+IMPORTRANGE(""https://docs.google.com/spreadsheets/d/1IwnW3-jjRf74MCLW-6P"&amp;"iFwMUffRQXZwZA7YM609NmRc/edit?usp=share_link"",""ปัตตานี!I594"")+IMPORTRANGE(""https://docs.google.com/spreadsheets/d/1vl4QWbWdFruual5o_wdo6ZSqXZ_it806oja4CctTLKs/edit?usp=share_link"",""พังงา!I594"")+IMPORTRANGE(""https://docs.google.com/spreadsheets/d/1"&amp;"b6QssHQp2FoAPSMKHOy273KNzAomaIKhtdlvuZ_zDNE/edit?usp=share_link"",""พัทลุง!I594"")+IMPORTRANGE(""https://docs.google.com/spreadsheets/d/1o7UZe4_OqlqtLDHrj01Z2YFRSZDf1DMy1n3XViHaxRc/edit?usp=share_link"",""ภูเก็ต!I594"")+IMPORTRANGE(""https://docs.google.c"&amp;"om/spreadsheets/d/1ctPm1vUzcUCPuOj9-eoHUD85PqINFqUB0TjdSWmR5-c/edit?usp=share_link"",""ยะลา!I594"")+IMPORTRANGE(""https://docs.google.com/spreadsheets/d/1YiDIE7Klmt8osgdapRqYWNr7iPGFSsiJqq46S7PYRE0/edit?usp=share_link"",""ระนอง!I594"")+IMPORTRANGE(""https"&amp;"://docs.google.com/spreadsheets/d/16o_4B-V7AWw_6E93bSpXj_XxVv1oVQctk-B6z1dNEWU/edit?usp=share_link"",""สงขลา!I594"")+IMPORTRANGE(""https://docs.google.com/spreadsheets/d/16cywr71Fj4fA5OGRHsZh30ZG2gwJhMAQv69oVBzYHv0/edit?usp=share_link"",""สตูล!I594"")+IMP"&amp;"ORTRANGE(""https://docs.google.com/spreadsheets/d/1vO9Sws6kMtrVtyvrAJptINXjK8TFBoX9xLYOVK_C8bQ/edit?usp=share_link"",""สุราษฎร์ธานี!I594"")"),4230)</f>
        <v>4230</v>
      </c>
      <c r="J594" s="192">
        <f t="shared" ca="1" si="291"/>
        <v>4165</v>
      </c>
      <c r="K594" s="411">
        <f t="shared" ca="1" si="290"/>
        <v>98.463356973995275</v>
      </c>
      <c r="L594" s="162"/>
      <c r="M594" s="162"/>
      <c r="N594" s="162"/>
      <c r="O594" s="162"/>
      <c r="P594" s="162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20.25" customHeight="1">
      <c r="A595" s="607"/>
      <c r="B595" s="608"/>
      <c r="C595" s="617" t="s">
        <v>253</v>
      </c>
      <c r="D595" s="608"/>
      <c r="E595" s="608"/>
      <c r="F595" s="618"/>
      <c r="G595" s="174"/>
      <c r="H595" s="181" t="s">
        <v>46</v>
      </c>
      <c r="I595" s="161"/>
      <c r="J595" s="161">
        <f t="shared" ref="J595:J596" ca="1" si="292">J597+J599</f>
        <v>33399.445</v>
      </c>
      <c r="K595" s="162"/>
      <c r="L595" s="162"/>
      <c r="M595" s="162"/>
      <c r="N595" s="162"/>
      <c r="O595" s="162"/>
      <c r="P595" s="162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20.25" customHeight="1">
      <c r="A596" s="607"/>
      <c r="B596" s="608"/>
      <c r="C596" s="608"/>
      <c r="D596" s="608"/>
      <c r="E596" s="618"/>
      <c r="F596" s="618"/>
      <c r="G596" s="174"/>
      <c r="H596" s="181" t="s">
        <v>34</v>
      </c>
      <c r="I596" s="161"/>
      <c r="J596" s="161">
        <f t="shared" ca="1" si="292"/>
        <v>2835</v>
      </c>
      <c r="K596" s="162"/>
      <c r="L596" s="162"/>
      <c r="M596" s="162"/>
      <c r="N596" s="162"/>
      <c r="O596" s="162"/>
      <c r="P596" s="162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20.25" customHeight="1">
      <c r="A597" s="607"/>
      <c r="B597" s="608"/>
      <c r="C597" s="608"/>
      <c r="D597" s="262" t="s">
        <v>254</v>
      </c>
      <c r="E597" s="618"/>
      <c r="F597" s="618"/>
      <c r="G597" s="174"/>
      <c r="H597" s="181" t="s">
        <v>46</v>
      </c>
      <c r="I597" s="161"/>
      <c r="J597" s="182">
        <f ca="1">IFERROR(__xludf.DUMMYFUNCTION("IMPORTRANGE(""https://docs.google.com/spreadsheets/d/1kC41EOXpGBFOW658Fs3oD8beYlym0-zO54WY-2Qnp9I/edit?usp=share_link"",""กระบี่!J597"")
+IMPORTRANGE(""https://docs.google.com/spreadsheets/d/1FbzMZY_f3MDiEuK7RpCQKrilJ_kpX0Wm7QBZ1L7EjIU/edit?usp=share_link"&amp;""",""ชุมพร!J597"")+IMPORTRANGE(""https://docs.google.com/spreadsheets/d/1v5sN-00LrXuhBxw4dkh2GrG_z4l5oAqOdJRBCsUyMaM/edit?usp=share_link"",""ตรัง!J597"")+IMPORTRANGE(""https://docs.google.com/spreadsheets/d/1T5rRTzFc79aSIvqnzkZNvwPstq829QYz_xALlO1Z0s8/edi"&amp;"t?usp=share_link"",""นครศรีธรรมราช!J597"")+IMPORTRANGE(""https://docs.google.com/spreadsheets/d/1BeghqumK0IvCmRd2QOy6_afsZq7ZtAGrSnVJy2u7WmY/edit?usp=share_link"",""นราธิวาส!J597"")+IMPORTRANGE(""https://docs.google.com/spreadsheets/d/1IwnW3-jjRf74MCLW-6P"&amp;"iFwMUffRQXZwZA7YM609NmRc/edit?usp=share_link"",""ปัตตานี!J597"")+IMPORTRANGE(""https://docs.google.com/spreadsheets/d/1vl4QWbWdFruual5o_wdo6ZSqXZ_it806oja4CctTLKs/edit?usp=share_link"",""พังงา!J597"")+IMPORTRANGE(""https://docs.google.com/spreadsheets/d/1"&amp;"b6QssHQp2FoAPSMKHOy273KNzAomaIKhtdlvuZ_zDNE/edit?usp=share_link"",""พัทลุง!J597"")+IMPORTRANGE(""https://docs.google.com/spreadsheets/d/1o7UZe4_OqlqtLDHrj01Z2YFRSZDf1DMy1n3XViHaxRc/edit?usp=share_link"",""ภูเก็ต!J597"")+IMPORTRANGE(""https://docs.google.c"&amp;"om/spreadsheets/d/1ctPm1vUzcUCPuOj9-eoHUD85PqINFqUB0TjdSWmR5-c/edit?usp=share_link"",""ยะลา!J597"")+IMPORTRANGE(""https://docs.google.com/spreadsheets/d/1YiDIE7Klmt8osgdapRqYWNr7iPGFSsiJqq46S7PYRE0/edit?usp=share_link"",""ระนอง!J597"")+IMPORTRANGE(""https"&amp;"://docs.google.com/spreadsheets/d/16o_4B-V7AWw_6E93bSpXj_XxVv1oVQctk-B6z1dNEWU/edit?usp=share_link"",""สงขลา!J597"")+IMPORTRANGE(""https://docs.google.com/spreadsheets/d/16cywr71Fj4fA5OGRHsZh30ZG2gwJhMAQv69oVBzYHv0/edit?usp=share_link"",""สตูล!J597"")+IMP"&amp;"ORTRANGE(""https://docs.google.com/spreadsheets/d/1vO9Sws6kMtrVtyvrAJptINXjK8TFBoX9xLYOVK_C8bQ/edit?usp=share_link"",""สุราษฎร์ธานี!J597"")"),33214.9975)</f>
        <v>33214.997499999998</v>
      </c>
      <c r="K597" s="162"/>
      <c r="L597" s="162"/>
      <c r="M597" s="162"/>
      <c r="N597" s="162"/>
      <c r="O597" s="162"/>
      <c r="P597" s="162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20.25" customHeight="1">
      <c r="A598" s="607"/>
      <c r="B598" s="608"/>
      <c r="C598" s="608"/>
      <c r="D598" s="608"/>
      <c r="E598" s="618"/>
      <c r="F598" s="618"/>
      <c r="G598" s="174"/>
      <c r="H598" s="181" t="s">
        <v>34</v>
      </c>
      <c r="I598" s="36"/>
      <c r="J598" s="182">
        <f ca="1">IFERROR(__xludf.DUMMYFUNCTION("IMPORTRANGE(""https://docs.google.com/spreadsheets/d/1kC41EOXpGBFOW658Fs3oD8beYlym0-zO54WY-2Qnp9I/edit?usp=share_link"",""กระบี่!J598"")
+IMPORTRANGE(""https://docs.google.com/spreadsheets/d/1FbzMZY_f3MDiEuK7RpCQKrilJ_kpX0Wm7QBZ1L7EjIU/edit?usp=share_link"&amp;""",""ชุมพร!J598"")+IMPORTRANGE(""https://docs.google.com/spreadsheets/d/1v5sN-00LrXuhBxw4dkh2GrG_z4l5oAqOdJRBCsUyMaM/edit?usp=share_link"",""ตรัง!J598"")+IMPORTRANGE(""https://docs.google.com/spreadsheets/d/1T5rRTzFc79aSIvqnzkZNvwPstq829QYz_xALlO1Z0s8/edi"&amp;"t?usp=share_link"",""นครศรีธรรมราช!J598"")+IMPORTRANGE(""https://docs.google.com/spreadsheets/d/1BeghqumK0IvCmRd2QOy6_afsZq7ZtAGrSnVJy2u7WmY/edit?usp=share_link"",""นราธิวาส!J598"")+IMPORTRANGE(""https://docs.google.com/spreadsheets/d/1IwnW3-jjRf74MCLW-6P"&amp;"iFwMUffRQXZwZA7YM609NmRc/edit?usp=share_link"",""ปัตตานี!J598"")+IMPORTRANGE(""https://docs.google.com/spreadsheets/d/1vl4QWbWdFruual5o_wdo6ZSqXZ_it806oja4CctTLKs/edit?usp=share_link"",""พังงา!J598"")+IMPORTRANGE(""https://docs.google.com/spreadsheets/d/1"&amp;"b6QssHQp2FoAPSMKHOy273KNzAomaIKhtdlvuZ_zDNE/edit?usp=share_link"",""พัทลุง!J598"")+IMPORTRANGE(""https://docs.google.com/spreadsheets/d/1o7UZe4_OqlqtLDHrj01Z2YFRSZDf1DMy1n3XViHaxRc/edit?usp=share_link"",""ภูเก็ต!J598"")+IMPORTRANGE(""https://docs.google.c"&amp;"om/spreadsheets/d/1ctPm1vUzcUCPuOj9-eoHUD85PqINFqUB0TjdSWmR5-c/edit?usp=share_link"",""ยะลา!J598"")+IMPORTRANGE(""https://docs.google.com/spreadsheets/d/1YiDIE7Klmt8osgdapRqYWNr7iPGFSsiJqq46S7PYRE0/edit?usp=share_link"",""ระนอง!J598"")+IMPORTRANGE(""https"&amp;"://docs.google.com/spreadsheets/d/16o_4B-V7AWw_6E93bSpXj_XxVv1oVQctk-B6z1dNEWU/edit?usp=share_link"",""สงขลา!J598"")+IMPORTRANGE(""https://docs.google.com/spreadsheets/d/16cywr71Fj4fA5OGRHsZh30ZG2gwJhMAQv69oVBzYHv0/edit?usp=share_link"",""สตูล!J598"")+IMP"&amp;"ORTRANGE(""https://docs.google.com/spreadsheets/d/1vO9Sws6kMtrVtyvrAJptINXjK8TFBoX9xLYOVK_C8bQ/edit?usp=share_link"",""สุราษฎร์ธานี!J598"")"),2811)</f>
        <v>2811</v>
      </c>
      <c r="K598" s="162"/>
      <c r="L598" s="162"/>
      <c r="M598" s="162"/>
      <c r="N598" s="162"/>
      <c r="O598" s="162"/>
      <c r="P598" s="162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20.25" customHeight="1">
      <c r="A599" s="607"/>
      <c r="B599" s="608"/>
      <c r="C599" s="608"/>
      <c r="D599" s="262" t="s">
        <v>255</v>
      </c>
      <c r="E599" s="618"/>
      <c r="F599" s="618"/>
      <c r="G599" s="174"/>
      <c r="H599" s="181" t="s">
        <v>46</v>
      </c>
      <c r="I599" s="36"/>
      <c r="J599" s="182">
        <f ca="1">IFERROR(__xludf.DUMMYFUNCTION("IMPORTRANGE(""https://docs.google.com/spreadsheets/d/1kC41EOXpGBFOW658Fs3oD8beYlym0-zO54WY-2Qnp9I/edit?usp=share_link"",""กระบี่!J599"")
+IMPORTRANGE(""https://docs.google.com/spreadsheets/d/1FbzMZY_f3MDiEuK7RpCQKrilJ_kpX0Wm7QBZ1L7EjIU/edit?usp=share_link"&amp;""",""ชุมพร!J599"")+IMPORTRANGE(""https://docs.google.com/spreadsheets/d/1v5sN-00LrXuhBxw4dkh2GrG_z4l5oAqOdJRBCsUyMaM/edit?usp=share_link"",""ตรัง!J599"")+IMPORTRANGE(""https://docs.google.com/spreadsheets/d/1T5rRTzFc79aSIvqnzkZNvwPstq829QYz_xALlO1Z0s8/edi"&amp;"t?usp=share_link"",""นครศรีธรรมราช!J599"")+IMPORTRANGE(""https://docs.google.com/spreadsheets/d/1BeghqumK0IvCmRd2QOy6_afsZq7ZtAGrSnVJy2u7WmY/edit?usp=share_link"",""นราธิวาส!J599"")+IMPORTRANGE(""https://docs.google.com/spreadsheets/d/1IwnW3-jjRf74MCLW-6P"&amp;"iFwMUffRQXZwZA7YM609NmRc/edit?usp=share_link"",""ปัตตานี!J599"")+IMPORTRANGE(""https://docs.google.com/spreadsheets/d/1vl4QWbWdFruual5o_wdo6ZSqXZ_it806oja4CctTLKs/edit?usp=share_link"",""พังงา!J599"")+IMPORTRANGE(""https://docs.google.com/spreadsheets/d/1"&amp;"b6QssHQp2FoAPSMKHOy273KNzAomaIKhtdlvuZ_zDNE/edit?usp=share_link"",""พัทลุง!J599"")+IMPORTRANGE(""https://docs.google.com/spreadsheets/d/1o7UZe4_OqlqtLDHrj01Z2YFRSZDf1DMy1n3XViHaxRc/edit?usp=share_link"",""ภูเก็ต!J599"")+IMPORTRANGE(""https://docs.google.c"&amp;"om/spreadsheets/d/1ctPm1vUzcUCPuOj9-eoHUD85PqINFqUB0TjdSWmR5-c/edit?usp=share_link"",""ยะลา!J599"")+IMPORTRANGE(""https://docs.google.com/spreadsheets/d/1YiDIE7Klmt8osgdapRqYWNr7iPGFSsiJqq46S7PYRE0/edit?usp=share_link"",""ระนอง!J599"")+IMPORTRANGE(""https"&amp;"://docs.google.com/spreadsheets/d/16o_4B-V7AWw_6E93bSpXj_XxVv1oVQctk-B6z1dNEWU/edit?usp=share_link"",""สงขลา!J599"")+IMPORTRANGE(""https://docs.google.com/spreadsheets/d/16cywr71Fj4fA5OGRHsZh30ZG2gwJhMAQv69oVBzYHv0/edit?usp=share_link"",""สตูล!J599"")+IMP"&amp;"ORTRANGE(""https://docs.google.com/spreadsheets/d/1vO9Sws6kMtrVtyvrAJptINXjK8TFBoX9xLYOVK_C8bQ/edit?usp=share_link"",""สุราษฎร์ธานี!J599"")"),184.4475)</f>
        <v>184.44749999999999</v>
      </c>
      <c r="K599" s="162"/>
      <c r="L599" s="162"/>
      <c r="M599" s="162"/>
      <c r="N599" s="162"/>
      <c r="O599" s="162"/>
      <c r="P599" s="162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20.25" customHeight="1">
      <c r="A600" s="607"/>
      <c r="B600" s="608"/>
      <c r="C600" s="608"/>
      <c r="D600" s="608"/>
      <c r="E600" s="618"/>
      <c r="F600" s="618"/>
      <c r="G600" s="174"/>
      <c r="H600" s="181" t="s">
        <v>34</v>
      </c>
      <c r="I600" s="36"/>
      <c r="J600" s="182">
        <f ca="1">IFERROR(__xludf.DUMMYFUNCTION("IMPORTRANGE(""https://docs.google.com/spreadsheets/d/1kC41EOXpGBFOW658Fs3oD8beYlym0-zO54WY-2Qnp9I/edit?usp=share_link"",""กระบี่!J600"")
+IMPORTRANGE(""https://docs.google.com/spreadsheets/d/1FbzMZY_f3MDiEuK7RpCQKrilJ_kpX0Wm7QBZ1L7EjIU/edit?usp=share_link"&amp;""",""ชุมพร!J600"")+IMPORTRANGE(""https://docs.google.com/spreadsheets/d/1v5sN-00LrXuhBxw4dkh2GrG_z4l5oAqOdJRBCsUyMaM/edit?usp=share_link"",""ตรัง!J600"")+IMPORTRANGE(""https://docs.google.com/spreadsheets/d/1T5rRTzFc79aSIvqnzkZNvwPstq829QYz_xALlO1Z0s8/edi"&amp;"t?usp=share_link"",""นครศรีธรรมราช!J600"")+IMPORTRANGE(""https://docs.google.com/spreadsheets/d/1BeghqumK0IvCmRd2QOy6_afsZq7ZtAGrSnVJy2u7WmY/edit?usp=share_link"",""นราธิวาส!J600"")+IMPORTRANGE(""https://docs.google.com/spreadsheets/d/1IwnW3-jjRf74MCLW-6P"&amp;"iFwMUffRQXZwZA7YM609NmRc/edit?usp=share_link"",""ปัตตานี!J600"")+IMPORTRANGE(""https://docs.google.com/spreadsheets/d/1vl4QWbWdFruual5o_wdo6ZSqXZ_it806oja4CctTLKs/edit?usp=share_link"",""พังงา!J600"")+IMPORTRANGE(""https://docs.google.com/spreadsheets/d/1"&amp;"b6QssHQp2FoAPSMKHOy273KNzAomaIKhtdlvuZ_zDNE/edit?usp=share_link"",""พัทลุง!J600"")+IMPORTRANGE(""https://docs.google.com/spreadsheets/d/1o7UZe4_OqlqtLDHrj01Z2YFRSZDf1DMy1n3XViHaxRc/edit?usp=share_link"",""ภูเก็ต!J600"")+IMPORTRANGE(""https://docs.google.c"&amp;"om/spreadsheets/d/1ctPm1vUzcUCPuOj9-eoHUD85PqINFqUB0TjdSWmR5-c/edit?usp=share_link"",""ยะลา!J600"")+IMPORTRANGE(""https://docs.google.com/spreadsheets/d/1YiDIE7Klmt8osgdapRqYWNr7iPGFSsiJqq46S7PYRE0/edit?usp=share_link"",""ระนอง!J600"")+IMPORTRANGE(""https"&amp;"://docs.google.com/spreadsheets/d/16o_4B-V7AWw_6E93bSpXj_XxVv1oVQctk-B6z1dNEWU/edit?usp=share_link"",""สงขลา!J600"")+IMPORTRANGE(""https://docs.google.com/spreadsheets/d/16cywr71Fj4fA5OGRHsZh30ZG2gwJhMAQv69oVBzYHv0/edit?usp=share_link"",""สตูล!J600"")+IMP"&amp;"ORTRANGE(""https://docs.google.com/spreadsheets/d/1vO9Sws6kMtrVtyvrAJptINXjK8TFBoX9xLYOVK_C8bQ/edit?usp=share_link"",""สุราษฎร์ธานี!J600"")"),24)</f>
        <v>24</v>
      </c>
      <c r="K600" s="162"/>
      <c r="L600" s="162"/>
      <c r="M600" s="162"/>
      <c r="N600" s="162"/>
      <c r="O600" s="162"/>
      <c r="P600" s="162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20.25" customHeight="1">
      <c r="A601" s="607"/>
      <c r="B601" s="608"/>
      <c r="C601" s="608"/>
      <c r="D601" s="262" t="s">
        <v>256</v>
      </c>
      <c r="E601" s="618"/>
      <c r="F601" s="618"/>
      <c r="G601" s="174"/>
      <c r="H601" s="181" t="s">
        <v>46</v>
      </c>
      <c r="I601" s="36"/>
      <c r="J601" s="182">
        <f ca="1">IFERROR(__xludf.DUMMYFUNCTION("IMPORTRANGE(""https://docs.google.com/spreadsheets/d/1kC41EOXpGBFOW658Fs3oD8beYlym0-zO54WY-2Qnp9I/edit?usp=share_link"",""กระบี่!J601"")
+IMPORTRANGE(""https://docs.google.com/spreadsheets/d/1FbzMZY_f3MDiEuK7RpCQKrilJ_kpX0Wm7QBZ1L7EjIU/edit?usp=share_link"&amp;""",""ชุมพร!J601"")+IMPORTRANGE(""https://docs.google.com/spreadsheets/d/1v5sN-00LrXuhBxw4dkh2GrG_z4l5oAqOdJRBCsUyMaM/edit?usp=share_link"",""ตรัง!J601"")+IMPORTRANGE(""https://docs.google.com/spreadsheets/d/1T5rRTzFc79aSIvqnzkZNvwPstq829QYz_xALlO1Z0s8/edi"&amp;"t?usp=share_link"",""นครศรีธรรมราช!J601"")+IMPORTRANGE(""https://docs.google.com/spreadsheets/d/1BeghqumK0IvCmRd2QOy6_afsZq7ZtAGrSnVJy2u7WmY/edit?usp=share_link"",""นราธิวาส!J601"")+IMPORTRANGE(""https://docs.google.com/spreadsheets/d/1IwnW3-jjRf74MCLW-6P"&amp;"iFwMUffRQXZwZA7YM609NmRc/edit?usp=share_link"",""ปัตตานี!J601"")+IMPORTRANGE(""https://docs.google.com/spreadsheets/d/1vl4QWbWdFruual5o_wdo6ZSqXZ_it806oja4CctTLKs/edit?usp=share_link"",""พังงา!J601"")+IMPORTRANGE(""https://docs.google.com/spreadsheets/d/1"&amp;"b6QssHQp2FoAPSMKHOy273KNzAomaIKhtdlvuZ_zDNE/edit?usp=share_link"",""พัทลุง!J601"")+IMPORTRANGE(""https://docs.google.com/spreadsheets/d/1o7UZe4_OqlqtLDHrj01Z2YFRSZDf1DMy1n3XViHaxRc/edit?usp=share_link"",""ภูเก็ต!J601"")+IMPORTRANGE(""https://docs.google.c"&amp;"om/spreadsheets/d/1ctPm1vUzcUCPuOj9-eoHUD85PqINFqUB0TjdSWmR5-c/edit?usp=share_link"",""ยะลา!J601"")+IMPORTRANGE(""https://docs.google.com/spreadsheets/d/1YiDIE7Klmt8osgdapRqYWNr7iPGFSsiJqq46S7PYRE0/edit?usp=share_link"",""ระนอง!J601"")+IMPORTRANGE(""https"&amp;"://docs.google.com/spreadsheets/d/16o_4B-V7AWw_6E93bSpXj_XxVv1oVQctk-B6z1dNEWU/edit?usp=share_link"",""สงขลา!J601"")+IMPORTRANGE(""https://docs.google.com/spreadsheets/d/16cywr71Fj4fA5OGRHsZh30ZG2gwJhMAQv69oVBzYHv0/edit?usp=share_link"",""สตูล!J601"")+IMP"&amp;"ORTRANGE(""https://docs.google.com/spreadsheets/d/1vO9Sws6kMtrVtyvrAJptINXjK8TFBoX9xLYOVK_C8bQ/edit?usp=share_link"",""สุราษฎร์ธานี!J601"")"),0)</f>
        <v>0</v>
      </c>
      <c r="K601" s="162"/>
      <c r="L601" s="162"/>
      <c r="M601" s="162"/>
      <c r="N601" s="162"/>
      <c r="O601" s="162"/>
      <c r="P601" s="162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20.25" customHeight="1">
      <c r="A602" s="607"/>
      <c r="B602" s="608"/>
      <c r="C602" s="608"/>
      <c r="D602" s="608"/>
      <c r="E602" s="618"/>
      <c r="F602" s="618"/>
      <c r="G602" s="174"/>
      <c r="H602" s="181" t="s">
        <v>34</v>
      </c>
      <c r="I602" s="36"/>
      <c r="J602" s="182">
        <f ca="1">IFERROR(__xludf.DUMMYFUNCTION("IMPORTRANGE(""https://docs.google.com/spreadsheets/d/1kC41EOXpGBFOW658Fs3oD8beYlym0-zO54WY-2Qnp9I/edit?usp=share_link"",""กระบี่!J602"")
+IMPORTRANGE(""https://docs.google.com/spreadsheets/d/1FbzMZY_f3MDiEuK7RpCQKrilJ_kpX0Wm7QBZ1L7EjIU/edit?usp=share_link"&amp;""",""ชุมพร!J602"")+IMPORTRANGE(""https://docs.google.com/spreadsheets/d/1v5sN-00LrXuhBxw4dkh2GrG_z4l5oAqOdJRBCsUyMaM/edit?usp=share_link"",""ตรัง!J602"")+IMPORTRANGE(""https://docs.google.com/spreadsheets/d/1T5rRTzFc79aSIvqnzkZNvwPstq829QYz_xALlO1Z0s8/edi"&amp;"t?usp=share_link"",""นครศรีธรรมราช!J602"")+IMPORTRANGE(""https://docs.google.com/spreadsheets/d/1BeghqumK0IvCmRd2QOy6_afsZq7ZtAGrSnVJy2u7WmY/edit?usp=share_link"",""นราธิวาส!J602"")+IMPORTRANGE(""https://docs.google.com/spreadsheets/d/1IwnW3-jjRf74MCLW-6P"&amp;"iFwMUffRQXZwZA7YM609NmRc/edit?usp=share_link"",""ปัตตานี!J602"")+IMPORTRANGE(""https://docs.google.com/spreadsheets/d/1vl4QWbWdFruual5o_wdo6ZSqXZ_it806oja4CctTLKs/edit?usp=share_link"",""พังงา!J602"")+IMPORTRANGE(""https://docs.google.com/spreadsheets/d/1"&amp;"b6QssHQp2FoAPSMKHOy273KNzAomaIKhtdlvuZ_zDNE/edit?usp=share_link"",""พัทลุง!J602"")+IMPORTRANGE(""https://docs.google.com/spreadsheets/d/1o7UZe4_OqlqtLDHrj01Z2YFRSZDf1DMy1n3XViHaxRc/edit?usp=share_link"",""ภูเก็ต!J602"")+IMPORTRANGE(""https://docs.google.c"&amp;"om/spreadsheets/d/1ctPm1vUzcUCPuOj9-eoHUD85PqINFqUB0TjdSWmR5-c/edit?usp=share_link"",""ยะลา!J602"")+IMPORTRANGE(""https://docs.google.com/spreadsheets/d/1YiDIE7Klmt8osgdapRqYWNr7iPGFSsiJqq46S7PYRE0/edit?usp=share_link"",""ระนอง!J602"")+IMPORTRANGE(""https"&amp;"://docs.google.com/spreadsheets/d/16o_4B-V7AWw_6E93bSpXj_XxVv1oVQctk-B6z1dNEWU/edit?usp=share_link"",""สงขลา!J602"")+IMPORTRANGE(""https://docs.google.com/spreadsheets/d/16cywr71Fj4fA5OGRHsZh30ZG2gwJhMAQv69oVBzYHv0/edit?usp=share_link"",""สตูล!J602"")+IMP"&amp;"ORTRANGE(""https://docs.google.com/spreadsheets/d/1vO9Sws6kMtrVtyvrAJptINXjK8TFBoX9xLYOVK_C8bQ/edit?usp=share_link"",""สุราษฎร์ธานี!J602"")"),0)</f>
        <v>0</v>
      </c>
      <c r="K602" s="162"/>
      <c r="L602" s="162"/>
      <c r="M602" s="162"/>
      <c r="N602" s="162"/>
      <c r="O602" s="162"/>
      <c r="P602" s="162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20.25" customHeight="1">
      <c r="A603" s="607"/>
      <c r="B603" s="608"/>
      <c r="C603" s="704" t="s">
        <v>257</v>
      </c>
      <c r="D603" s="608"/>
      <c r="E603" s="608"/>
      <c r="F603" s="618"/>
      <c r="G603" s="174"/>
      <c r="H603" s="181" t="s">
        <v>46</v>
      </c>
      <c r="I603" s="36"/>
      <c r="J603" s="36">
        <f t="shared" ref="J603:J604" ca="1" si="293">J605+J607</f>
        <v>7678.8850000000002</v>
      </c>
      <c r="K603" s="162"/>
      <c r="L603" s="162"/>
      <c r="M603" s="162"/>
      <c r="N603" s="162"/>
      <c r="O603" s="162"/>
      <c r="P603" s="162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20.25" customHeight="1">
      <c r="A604" s="607"/>
      <c r="B604" s="608"/>
      <c r="C604" s="608"/>
      <c r="D604" s="608"/>
      <c r="E604" s="618"/>
      <c r="F604" s="618"/>
      <c r="G604" s="174"/>
      <c r="H604" s="181" t="s">
        <v>34</v>
      </c>
      <c r="I604" s="36"/>
      <c r="J604" s="36">
        <f t="shared" ca="1" si="293"/>
        <v>1110</v>
      </c>
      <c r="K604" s="162"/>
      <c r="L604" s="162"/>
      <c r="M604" s="162"/>
      <c r="N604" s="162"/>
      <c r="O604" s="162"/>
      <c r="P604" s="162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20.25" customHeight="1">
      <c r="A605" s="607"/>
      <c r="B605" s="608"/>
      <c r="C605" s="608"/>
      <c r="D605" s="704" t="s">
        <v>258</v>
      </c>
      <c r="E605" s="618"/>
      <c r="F605" s="618"/>
      <c r="G605" s="174"/>
      <c r="H605" s="181" t="s">
        <v>46</v>
      </c>
      <c r="I605" s="36"/>
      <c r="J605" s="182">
        <f ca="1">IFERROR(__xludf.DUMMYFUNCTION("IMPORTRANGE(""https://docs.google.com/spreadsheets/d/1kC41EOXpGBFOW658Fs3oD8beYlym0-zO54WY-2Qnp9I/edit?usp=share_link"",""กระบี่!J605"")
+IMPORTRANGE(""https://docs.google.com/spreadsheets/d/1FbzMZY_f3MDiEuK7RpCQKrilJ_kpX0Wm7QBZ1L7EjIU/edit?usp=share_link"&amp;""",""ชุมพร!J605"")+IMPORTRANGE(""https://docs.google.com/spreadsheets/d/1v5sN-00LrXuhBxw4dkh2GrG_z4l5oAqOdJRBCsUyMaM/edit?usp=share_link"",""ตรัง!J605"")+IMPORTRANGE(""https://docs.google.com/spreadsheets/d/1T5rRTzFc79aSIvqnzkZNvwPstq829QYz_xALlO1Z0s8/edi"&amp;"t?usp=share_link"",""นครศรีธรรมราช!J605"")+IMPORTRANGE(""https://docs.google.com/spreadsheets/d/1BeghqumK0IvCmRd2QOy6_afsZq7ZtAGrSnVJy2u7WmY/edit?usp=share_link"",""นราธิวาส!J605"")+IMPORTRANGE(""https://docs.google.com/spreadsheets/d/1IwnW3-jjRf74MCLW-6P"&amp;"iFwMUffRQXZwZA7YM609NmRc/edit?usp=share_link"",""ปัตตานี!J605"")+IMPORTRANGE(""https://docs.google.com/spreadsheets/d/1vl4QWbWdFruual5o_wdo6ZSqXZ_it806oja4CctTLKs/edit?usp=share_link"",""พังงา!J605"")+IMPORTRANGE(""https://docs.google.com/spreadsheets/d/1"&amp;"b6QssHQp2FoAPSMKHOy273KNzAomaIKhtdlvuZ_zDNE/edit?usp=share_link"",""พัทลุง!J605"")+IMPORTRANGE(""https://docs.google.com/spreadsheets/d/1o7UZe4_OqlqtLDHrj01Z2YFRSZDf1DMy1n3XViHaxRc/edit?usp=share_link"",""ภูเก็ต!J605"")+IMPORTRANGE(""https://docs.google.c"&amp;"om/spreadsheets/d/1ctPm1vUzcUCPuOj9-eoHUD85PqINFqUB0TjdSWmR5-c/edit?usp=share_link"",""ยะลา!J605"")+IMPORTRANGE(""https://docs.google.com/spreadsheets/d/1YiDIE7Klmt8osgdapRqYWNr7iPGFSsiJqq46S7PYRE0/edit?usp=share_link"",""ระนอง!J605"")+IMPORTRANGE(""https"&amp;"://docs.google.com/spreadsheets/d/16o_4B-V7AWw_6E93bSpXj_XxVv1oVQctk-B6z1dNEWU/edit?usp=share_link"",""สงขลา!J605"")+IMPORTRANGE(""https://docs.google.com/spreadsheets/d/16cywr71Fj4fA5OGRHsZh30ZG2gwJhMAQv69oVBzYHv0/edit?usp=share_link"",""สตูล!J605"")+IMP"&amp;"ORTRANGE(""https://docs.google.com/spreadsheets/d/1vO9Sws6kMtrVtyvrAJptINXjK8TFBoX9xLYOVK_C8bQ/edit?usp=share_link"",""สุราษฎร์ธานี!J605"")"),7063.2)</f>
        <v>7063.2</v>
      </c>
      <c r="K605" s="162"/>
      <c r="L605" s="162"/>
      <c r="M605" s="162"/>
      <c r="N605" s="162"/>
      <c r="O605" s="162"/>
      <c r="P605" s="162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20.25" customHeight="1">
      <c r="A606" s="607"/>
      <c r="B606" s="608"/>
      <c r="C606" s="608"/>
      <c r="D606" s="608"/>
      <c r="E606" s="608"/>
      <c r="F606" s="618"/>
      <c r="G606" s="174"/>
      <c r="H606" s="181" t="s">
        <v>34</v>
      </c>
      <c r="I606" s="36"/>
      <c r="J606" s="182">
        <f ca="1">IFERROR(__xludf.DUMMYFUNCTION("IMPORTRANGE(""https://docs.google.com/spreadsheets/d/1kC41EOXpGBFOW658Fs3oD8beYlym0-zO54WY-2Qnp9I/edit?usp=share_link"",""กระบี่!J606"")
+IMPORTRANGE(""https://docs.google.com/spreadsheets/d/1FbzMZY_f3MDiEuK7RpCQKrilJ_kpX0Wm7QBZ1L7EjIU/edit?usp=share_link"&amp;""",""ชุมพร!J606"")+IMPORTRANGE(""https://docs.google.com/spreadsheets/d/1v5sN-00LrXuhBxw4dkh2GrG_z4l5oAqOdJRBCsUyMaM/edit?usp=share_link"",""ตรัง!J606"")+IMPORTRANGE(""https://docs.google.com/spreadsheets/d/1T5rRTzFc79aSIvqnzkZNvwPstq829QYz_xALlO1Z0s8/edi"&amp;"t?usp=share_link"",""นครศรีธรรมราช!J606"")+IMPORTRANGE(""https://docs.google.com/spreadsheets/d/1BeghqumK0IvCmRd2QOy6_afsZq7ZtAGrSnVJy2u7WmY/edit?usp=share_link"",""นราธิวาส!J606"")+IMPORTRANGE(""https://docs.google.com/spreadsheets/d/1IwnW3-jjRf74MCLW-6P"&amp;"iFwMUffRQXZwZA7YM609NmRc/edit?usp=share_link"",""ปัตตานี!J606"")+IMPORTRANGE(""https://docs.google.com/spreadsheets/d/1vl4QWbWdFruual5o_wdo6ZSqXZ_it806oja4CctTLKs/edit?usp=share_link"",""พังงา!J606"")+IMPORTRANGE(""https://docs.google.com/spreadsheets/d/1"&amp;"b6QssHQp2FoAPSMKHOy273KNzAomaIKhtdlvuZ_zDNE/edit?usp=share_link"",""พัทลุง!J606"")+IMPORTRANGE(""https://docs.google.com/spreadsheets/d/1o7UZe4_OqlqtLDHrj01Z2YFRSZDf1DMy1n3XViHaxRc/edit?usp=share_link"",""ภูเก็ต!J606"")+IMPORTRANGE(""https://docs.google.c"&amp;"om/spreadsheets/d/1ctPm1vUzcUCPuOj9-eoHUD85PqINFqUB0TjdSWmR5-c/edit?usp=share_link"",""ยะลา!J606"")+IMPORTRANGE(""https://docs.google.com/spreadsheets/d/1YiDIE7Klmt8osgdapRqYWNr7iPGFSsiJqq46S7PYRE0/edit?usp=share_link"",""ระนอง!J606"")+IMPORTRANGE(""https"&amp;"://docs.google.com/spreadsheets/d/16o_4B-V7AWw_6E93bSpXj_XxVv1oVQctk-B6z1dNEWU/edit?usp=share_link"",""สงขลา!J606"")+IMPORTRANGE(""https://docs.google.com/spreadsheets/d/16cywr71Fj4fA5OGRHsZh30ZG2gwJhMAQv69oVBzYHv0/edit?usp=share_link"",""สตูล!J606"")+IMP"&amp;"ORTRANGE(""https://docs.google.com/spreadsheets/d/1vO9Sws6kMtrVtyvrAJptINXjK8TFBoX9xLYOVK_C8bQ/edit?usp=share_link"",""สุราษฎร์ธานี!J606"")"),1051)</f>
        <v>1051</v>
      </c>
      <c r="K606" s="162"/>
      <c r="L606" s="162"/>
      <c r="M606" s="162"/>
      <c r="N606" s="162"/>
      <c r="O606" s="162"/>
      <c r="P606" s="162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20.25" customHeight="1">
      <c r="A607" s="607"/>
      <c r="B607" s="608"/>
      <c r="C607" s="608"/>
      <c r="D607" s="704" t="s">
        <v>259</v>
      </c>
      <c r="E607" s="608"/>
      <c r="F607" s="618"/>
      <c r="G607" s="174"/>
      <c r="H607" s="181" t="s">
        <v>46</v>
      </c>
      <c r="I607" s="36"/>
      <c r="J607" s="182">
        <f ca="1">IFERROR(__xludf.DUMMYFUNCTION("IMPORTRANGE(""https://docs.google.com/spreadsheets/d/1kC41EOXpGBFOW658Fs3oD8beYlym0-zO54WY-2Qnp9I/edit?usp=share_link"",""กระบี่!J607"")
+IMPORTRANGE(""https://docs.google.com/spreadsheets/d/1FbzMZY_f3MDiEuK7RpCQKrilJ_kpX0Wm7QBZ1L7EjIU/edit?usp=share_link"&amp;""",""ชุมพร!J607"")+IMPORTRANGE(""https://docs.google.com/spreadsheets/d/1v5sN-00LrXuhBxw4dkh2GrG_z4l5oAqOdJRBCsUyMaM/edit?usp=share_link"",""ตรัง!J607"")+IMPORTRANGE(""https://docs.google.com/spreadsheets/d/1T5rRTzFc79aSIvqnzkZNvwPstq829QYz_xALlO1Z0s8/edi"&amp;"t?usp=share_link"",""นครศรีธรรมราช!J607"")+IMPORTRANGE(""https://docs.google.com/spreadsheets/d/1BeghqumK0IvCmRd2QOy6_afsZq7ZtAGrSnVJy2u7WmY/edit?usp=share_link"",""นราธิวาส!J607"")+IMPORTRANGE(""https://docs.google.com/spreadsheets/d/1IwnW3-jjRf74MCLW-6P"&amp;"iFwMUffRQXZwZA7YM609NmRc/edit?usp=share_link"",""ปัตตานี!J607"")+IMPORTRANGE(""https://docs.google.com/spreadsheets/d/1vl4QWbWdFruual5o_wdo6ZSqXZ_it806oja4CctTLKs/edit?usp=share_link"",""พังงา!J607"")+IMPORTRANGE(""https://docs.google.com/spreadsheets/d/1"&amp;"b6QssHQp2FoAPSMKHOy273KNzAomaIKhtdlvuZ_zDNE/edit?usp=share_link"",""พัทลุง!J607"")+IMPORTRANGE(""https://docs.google.com/spreadsheets/d/1o7UZe4_OqlqtLDHrj01Z2YFRSZDf1DMy1n3XViHaxRc/edit?usp=share_link"",""ภูเก็ต!J607"")+IMPORTRANGE(""https://docs.google.c"&amp;"om/spreadsheets/d/1ctPm1vUzcUCPuOj9-eoHUD85PqINFqUB0TjdSWmR5-c/edit?usp=share_link"",""ยะลา!J607"")+IMPORTRANGE(""https://docs.google.com/spreadsheets/d/1YiDIE7Klmt8osgdapRqYWNr7iPGFSsiJqq46S7PYRE0/edit?usp=share_link"",""ระนอง!J607"")+IMPORTRANGE(""https"&amp;"://docs.google.com/spreadsheets/d/16o_4B-V7AWw_6E93bSpXj_XxVv1oVQctk-B6z1dNEWU/edit?usp=share_link"",""สงขลา!J607"")+IMPORTRANGE(""https://docs.google.com/spreadsheets/d/16cywr71Fj4fA5OGRHsZh30ZG2gwJhMAQv69oVBzYHv0/edit?usp=share_link"",""สตูล!J607"")+IMP"&amp;"ORTRANGE(""https://docs.google.com/spreadsheets/d/1vO9Sws6kMtrVtyvrAJptINXjK8TFBoX9xLYOVK_C8bQ/edit?usp=share_link"",""สุราษฎร์ธานี!J607"")"),615.685)</f>
        <v>615.68499999999995</v>
      </c>
      <c r="K607" s="162"/>
      <c r="L607" s="162"/>
      <c r="M607" s="162"/>
      <c r="N607" s="162"/>
      <c r="O607" s="162"/>
      <c r="P607" s="162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20.25" customHeight="1">
      <c r="A608" s="607"/>
      <c r="B608" s="608"/>
      <c r="C608" s="608"/>
      <c r="D608" s="608"/>
      <c r="E608" s="618"/>
      <c r="F608" s="618"/>
      <c r="G608" s="174"/>
      <c r="H608" s="181" t="s">
        <v>34</v>
      </c>
      <c r="I608" s="36"/>
      <c r="J608" s="182">
        <f ca="1">IFERROR(__xludf.DUMMYFUNCTION("IMPORTRANGE(""https://docs.google.com/spreadsheets/d/1kC41EOXpGBFOW658Fs3oD8beYlym0-zO54WY-2Qnp9I/edit?usp=share_link"",""กระบี่!J608"")
+IMPORTRANGE(""https://docs.google.com/spreadsheets/d/1FbzMZY_f3MDiEuK7RpCQKrilJ_kpX0Wm7QBZ1L7EjIU/edit?usp=share_link"&amp;""",""ชุมพร!J608"")+IMPORTRANGE(""https://docs.google.com/spreadsheets/d/1v5sN-00LrXuhBxw4dkh2GrG_z4l5oAqOdJRBCsUyMaM/edit?usp=share_link"",""ตรัง!J608"")+IMPORTRANGE(""https://docs.google.com/spreadsheets/d/1T5rRTzFc79aSIvqnzkZNvwPstq829QYz_xALlO1Z0s8/edi"&amp;"t?usp=share_link"",""นครศรีธรรมราช!J608"")+IMPORTRANGE(""https://docs.google.com/spreadsheets/d/1BeghqumK0IvCmRd2QOy6_afsZq7ZtAGrSnVJy2u7WmY/edit?usp=share_link"",""นราธิวาส!J608"")+IMPORTRANGE(""https://docs.google.com/spreadsheets/d/1IwnW3-jjRf74MCLW-6P"&amp;"iFwMUffRQXZwZA7YM609NmRc/edit?usp=share_link"",""ปัตตานี!J608"")+IMPORTRANGE(""https://docs.google.com/spreadsheets/d/1vl4QWbWdFruual5o_wdo6ZSqXZ_it806oja4CctTLKs/edit?usp=share_link"",""พังงา!J608"")+IMPORTRANGE(""https://docs.google.com/spreadsheets/d/1"&amp;"b6QssHQp2FoAPSMKHOy273KNzAomaIKhtdlvuZ_zDNE/edit?usp=share_link"",""พัทลุง!J608"")+IMPORTRANGE(""https://docs.google.com/spreadsheets/d/1o7UZe4_OqlqtLDHrj01Z2YFRSZDf1DMy1n3XViHaxRc/edit?usp=share_link"",""ภูเก็ต!J608"")+IMPORTRANGE(""https://docs.google.c"&amp;"om/spreadsheets/d/1ctPm1vUzcUCPuOj9-eoHUD85PqINFqUB0TjdSWmR5-c/edit?usp=share_link"",""ยะลา!J608"")+IMPORTRANGE(""https://docs.google.com/spreadsheets/d/1YiDIE7Klmt8osgdapRqYWNr7iPGFSsiJqq46S7PYRE0/edit?usp=share_link"",""ระนอง!J608"")+IMPORTRANGE(""https"&amp;"://docs.google.com/spreadsheets/d/16o_4B-V7AWw_6E93bSpXj_XxVv1oVQctk-B6z1dNEWU/edit?usp=share_link"",""สงขลา!J608"")+IMPORTRANGE(""https://docs.google.com/spreadsheets/d/16cywr71Fj4fA5OGRHsZh30ZG2gwJhMAQv69oVBzYHv0/edit?usp=share_link"",""สตูล!J608"")+IMP"&amp;"ORTRANGE(""https://docs.google.com/spreadsheets/d/1vO9Sws6kMtrVtyvrAJptINXjK8TFBoX9xLYOVK_C8bQ/edit?usp=share_link"",""สุราษฎร์ธานี!J608"")"),59)</f>
        <v>59</v>
      </c>
      <c r="K608" s="162"/>
      <c r="L608" s="162"/>
      <c r="M608" s="162"/>
      <c r="N608" s="162"/>
      <c r="O608" s="162"/>
      <c r="P608" s="162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20.25" customHeight="1">
      <c r="A609" s="607"/>
      <c r="B609" s="608"/>
      <c r="C609" s="617" t="s">
        <v>260</v>
      </c>
      <c r="D609" s="608"/>
      <c r="E609" s="608"/>
      <c r="F609" s="618"/>
      <c r="G609" s="174"/>
      <c r="H609" s="181" t="s">
        <v>46</v>
      </c>
      <c r="I609" s="36"/>
      <c r="J609" s="182">
        <f ca="1">IFERROR(__xludf.DUMMYFUNCTION("IMPORTRANGE(""https://docs.google.com/spreadsheets/d/1kC41EOXpGBFOW658Fs3oD8beYlym0-zO54WY-2Qnp9I/edit?usp=share_link"",""กระบี่!J609"")
+IMPORTRANGE(""https://docs.google.com/spreadsheets/d/1FbzMZY_f3MDiEuK7RpCQKrilJ_kpX0Wm7QBZ1L7EjIU/edit?usp=share_link"&amp;""",""ชุมพร!J609"")+IMPORTRANGE(""https://docs.google.com/spreadsheets/d/1v5sN-00LrXuhBxw4dkh2GrG_z4l5oAqOdJRBCsUyMaM/edit?usp=share_link"",""ตรัง!J609"")+IMPORTRANGE(""https://docs.google.com/spreadsheets/d/1T5rRTzFc79aSIvqnzkZNvwPstq829QYz_xALlO1Z0s8/edi"&amp;"t?usp=share_link"",""นครศรีธรรมราช!J609"")+IMPORTRANGE(""https://docs.google.com/spreadsheets/d/1BeghqumK0IvCmRd2QOy6_afsZq7ZtAGrSnVJy2u7WmY/edit?usp=share_link"",""นราธิวาส!J609"")+IMPORTRANGE(""https://docs.google.com/spreadsheets/d/1IwnW3-jjRf74MCLW-6P"&amp;"iFwMUffRQXZwZA7YM609NmRc/edit?usp=share_link"",""ปัตตานี!J609"")+IMPORTRANGE(""https://docs.google.com/spreadsheets/d/1vl4QWbWdFruual5o_wdo6ZSqXZ_it806oja4CctTLKs/edit?usp=share_link"",""พังงา!J609"")+IMPORTRANGE(""https://docs.google.com/spreadsheets/d/1"&amp;"b6QssHQp2FoAPSMKHOy273KNzAomaIKhtdlvuZ_zDNE/edit?usp=share_link"",""พัทลุง!J609"")+IMPORTRANGE(""https://docs.google.com/spreadsheets/d/1o7UZe4_OqlqtLDHrj01Z2YFRSZDf1DMy1n3XViHaxRc/edit?usp=share_link"",""ภูเก็ต!J609"")+IMPORTRANGE(""https://docs.google.c"&amp;"om/spreadsheets/d/1ctPm1vUzcUCPuOj9-eoHUD85PqINFqUB0TjdSWmR5-c/edit?usp=share_link"",""ยะลา!J609"")+IMPORTRANGE(""https://docs.google.com/spreadsheets/d/1YiDIE7Klmt8osgdapRqYWNr7iPGFSsiJqq46S7PYRE0/edit?usp=share_link"",""ระนอง!J609"")+IMPORTRANGE(""https"&amp;"://docs.google.com/spreadsheets/d/16o_4B-V7AWw_6E93bSpXj_XxVv1oVQctk-B6z1dNEWU/edit?usp=share_link"",""สงขลา!J609"")+IMPORTRANGE(""https://docs.google.com/spreadsheets/d/16cywr71Fj4fA5OGRHsZh30ZG2gwJhMAQv69oVBzYHv0/edit?usp=share_link"",""สตูล!J609"")+IMP"&amp;"ORTRANGE(""https://docs.google.com/spreadsheets/d/1vO9Sws6kMtrVtyvrAJptINXjK8TFBoX9xLYOVK_C8bQ/edit?usp=share_link"",""สุราษฎร์ธานี!J609"")"),2841.6675)</f>
        <v>2841.6675</v>
      </c>
      <c r="K609" s="162"/>
      <c r="L609" s="162"/>
      <c r="M609" s="162"/>
      <c r="N609" s="162"/>
      <c r="O609" s="162"/>
      <c r="P609" s="162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20.25" customHeight="1">
      <c r="A610" s="607"/>
      <c r="B610" s="608"/>
      <c r="C610" s="608"/>
      <c r="D610" s="608"/>
      <c r="E610" s="618"/>
      <c r="F610" s="618"/>
      <c r="G610" s="174"/>
      <c r="H610" s="181" t="s">
        <v>34</v>
      </c>
      <c r="I610" s="36"/>
      <c r="J610" s="182">
        <f ca="1">IFERROR(__xludf.DUMMYFUNCTION("IMPORTRANGE(""https://docs.google.com/spreadsheets/d/1kC41EOXpGBFOW658Fs3oD8beYlym0-zO54WY-2Qnp9I/edit?usp=share_link"",""กระบี่!J610"")
+IMPORTRANGE(""https://docs.google.com/spreadsheets/d/1FbzMZY_f3MDiEuK7RpCQKrilJ_kpX0Wm7QBZ1L7EjIU/edit?usp=share_link"&amp;""",""ชุมพร!J610"")+IMPORTRANGE(""https://docs.google.com/spreadsheets/d/1v5sN-00LrXuhBxw4dkh2GrG_z4l5oAqOdJRBCsUyMaM/edit?usp=share_link"",""ตรัง!J610"")+IMPORTRANGE(""https://docs.google.com/spreadsheets/d/1T5rRTzFc79aSIvqnzkZNvwPstq829QYz_xALlO1Z0s8/edi"&amp;"t?usp=share_link"",""นครศรีธรรมราช!J610"")+IMPORTRANGE(""https://docs.google.com/spreadsheets/d/1BeghqumK0IvCmRd2QOy6_afsZq7ZtAGrSnVJy2u7WmY/edit?usp=share_link"",""นราธิวาส!J610"")+IMPORTRANGE(""https://docs.google.com/spreadsheets/d/1IwnW3-jjRf74MCLW-6P"&amp;"iFwMUffRQXZwZA7YM609NmRc/edit?usp=share_link"",""ปัตตานี!J610"")+IMPORTRANGE(""https://docs.google.com/spreadsheets/d/1vl4QWbWdFruual5o_wdo6ZSqXZ_it806oja4CctTLKs/edit?usp=share_link"",""พังงา!J610"")+IMPORTRANGE(""https://docs.google.com/spreadsheets/d/1"&amp;"b6QssHQp2FoAPSMKHOy273KNzAomaIKhtdlvuZ_zDNE/edit?usp=share_link"",""พัทลุง!J610"")+IMPORTRANGE(""https://docs.google.com/spreadsheets/d/1o7UZe4_OqlqtLDHrj01Z2YFRSZDf1DMy1n3XViHaxRc/edit?usp=share_link"",""ภูเก็ต!J610"")+IMPORTRANGE(""https://docs.google.c"&amp;"om/spreadsheets/d/1ctPm1vUzcUCPuOj9-eoHUD85PqINFqUB0TjdSWmR5-c/edit?usp=share_link"",""ยะลา!J610"")+IMPORTRANGE(""https://docs.google.com/spreadsheets/d/1YiDIE7Klmt8osgdapRqYWNr7iPGFSsiJqq46S7PYRE0/edit?usp=share_link"",""ระนอง!J610"")+IMPORTRANGE(""https"&amp;"://docs.google.com/spreadsheets/d/16o_4B-V7AWw_6E93bSpXj_XxVv1oVQctk-B6z1dNEWU/edit?usp=share_link"",""สงขลา!J610"")+IMPORTRANGE(""https://docs.google.com/spreadsheets/d/16cywr71Fj4fA5OGRHsZh30ZG2gwJhMAQv69oVBzYHv0/edit?usp=share_link"",""สตูล!J610"")+IMP"&amp;"ORTRANGE(""https://docs.google.com/spreadsheets/d/1vO9Sws6kMtrVtyvrAJptINXjK8TFBoX9xLYOVK_C8bQ/edit?usp=share_link"",""สุราษฎร์ธานี!J610"")"),220)</f>
        <v>220</v>
      </c>
      <c r="K610" s="162"/>
      <c r="L610" s="162"/>
      <c r="M610" s="162"/>
      <c r="N610" s="162"/>
      <c r="O610" s="162"/>
      <c r="P610" s="162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20.25" customHeight="1">
      <c r="A611" s="691"/>
      <c r="B611" s="705" t="s">
        <v>261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675">
        <f>J614+J616</f>
        <v>0</v>
      </c>
      <c r="K611" s="676">
        <f t="shared" ref="K611:K613" si="294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20.25" hidden="1" customHeight="1">
      <c r="A612" s="708"/>
      <c r="B612" s="709"/>
      <c r="C612" s="710" t="s">
        <v>262</v>
      </c>
      <c r="D612" s="709"/>
      <c r="E612" s="709"/>
      <c r="F612" s="711"/>
      <c r="G612" s="712"/>
      <c r="H612" s="713" t="s">
        <v>46</v>
      </c>
      <c r="I612" s="714">
        <v>0</v>
      </c>
      <c r="J612" s="715">
        <f t="shared" ref="J612:J613" si="295">J614+J616</f>
        <v>0</v>
      </c>
      <c r="K612" s="716">
        <f t="shared" si="294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20.25" hidden="1" customHeight="1">
      <c r="A613" s="708"/>
      <c r="B613" s="709"/>
      <c r="C613" s="718" t="s">
        <v>263</v>
      </c>
      <c r="D613" s="709"/>
      <c r="E613" s="709"/>
      <c r="F613" s="711"/>
      <c r="G613" s="712"/>
      <c r="H613" s="713" t="s">
        <v>34</v>
      </c>
      <c r="I613" s="714">
        <v>0</v>
      </c>
      <c r="J613" s="715">
        <f t="shared" si="295"/>
        <v>0</v>
      </c>
      <c r="K613" s="716">
        <f t="shared" si="294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20.25" hidden="1" customHeight="1">
      <c r="A614" s="613"/>
      <c r="B614" s="614"/>
      <c r="C614" s="614"/>
      <c r="D614" s="719" t="s">
        <v>264</v>
      </c>
      <c r="E614" s="614"/>
      <c r="F614" s="600"/>
      <c r="G614" s="365"/>
      <c r="H614" s="369" t="s">
        <v>46</v>
      </c>
      <c r="I614" s="43"/>
      <c r="J614" s="616">
        <v>0</v>
      </c>
      <c r="K614" s="166"/>
      <c r="L614" s="166"/>
      <c r="M614" s="166"/>
      <c r="N614" s="166"/>
      <c r="O614" s="166"/>
      <c r="P614" s="166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20.25" hidden="1" customHeight="1">
      <c r="A615" s="613"/>
      <c r="B615" s="614"/>
      <c r="C615" s="614"/>
      <c r="D615" s="614"/>
      <c r="E615" s="614"/>
      <c r="F615" s="600"/>
      <c r="G615" s="365"/>
      <c r="H615" s="369" t="s">
        <v>34</v>
      </c>
      <c r="I615" s="43"/>
      <c r="J615" s="616">
        <v>0</v>
      </c>
      <c r="K615" s="166"/>
      <c r="L615" s="166"/>
      <c r="M615" s="166"/>
      <c r="N615" s="166"/>
      <c r="O615" s="166"/>
      <c r="P615" s="166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20.25" hidden="1" customHeight="1">
      <c r="A616" s="613"/>
      <c r="B616" s="614"/>
      <c r="C616" s="614"/>
      <c r="D616" s="720" t="s">
        <v>264</v>
      </c>
      <c r="E616" s="600"/>
      <c r="F616" s="600"/>
      <c r="G616" s="365"/>
      <c r="H616" s="369" t="s">
        <v>46</v>
      </c>
      <c r="I616" s="43"/>
      <c r="J616" s="616">
        <v>0</v>
      </c>
      <c r="K616" s="166"/>
      <c r="L616" s="166"/>
      <c r="M616" s="166"/>
      <c r="N616" s="166"/>
      <c r="O616" s="166"/>
      <c r="P616" s="166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20.25" hidden="1" customHeight="1">
      <c r="A617" s="613"/>
      <c r="B617" s="614"/>
      <c r="C617" s="614"/>
      <c r="D617" s="614"/>
      <c r="E617" s="600"/>
      <c r="F617" s="600"/>
      <c r="G617" s="365"/>
      <c r="H617" s="369" t="s">
        <v>34</v>
      </c>
      <c r="I617" s="43"/>
      <c r="J617" s="616">
        <v>0</v>
      </c>
      <c r="K617" s="166"/>
      <c r="L617" s="166"/>
      <c r="M617" s="166"/>
      <c r="N617" s="166"/>
      <c r="O617" s="166"/>
      <c r="P617" s="166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20.25" hidden="1" customHeight="1">
      <c r="A618" s="613"/>
      <c r="B618" s="614"/>
      <c r="C618" s="614"/>
      <c r="D618" s="720" t="s">
        <v>265</v>
      </c>
      <c r="E618" s="600"/>
      <c r="F618" s="600"/>
      <c r="G618" s="365"/>
      <c r="H618" s="369" t="s">
        <v>46</v>
      </c>
      <c r="I618" s="43"/>
      <c r="J618" s="616">
        <v>0</v>
      </c>
      <c r="K618" s="166"/>
      <c r="L618" s="166"/>
      <c r="M618" s="166"/>
      <c r="N618" s="166"/>
      <c r="O618" s="166"/>
      <c r="P618" s="166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20.25" hidden="1" customHeight="1">
      <c r="A619" s="613"/>
      <c r="B619" s="614"/>
      <c r="C619" s="614"/>
      <c r="D619" s="614"/>
      <c r="E619" s="600"/>
      <c r="F619" s="600"/>
      <c r="G619" s="365"/>
      <c r="H619" s="369" t="s">
        <v>34</v>
      </c>
      <c r="I619" s="43"/>
      <c r="J619" s="616">
        <v>0</v>
      </c>
      <c r="K619" s="166"/>
      <c r="L619" s="166"/>
      <c r="M619" s="166"/>
      <c r="N619" s="166"/>
      <c r="O619" s="166"/>
      <c r="P619" s="166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20.25" customHeight="1">
      <c r="A620" s="721"/>
      <c r="B620" s="722"/>
      <c r="C620" s="723" t="s">
        <v>266</v>
      </c>
      <c r="D620" s="722"/>
      <c r="E620" s="722"/>
      <c r="F620" s="724"/>
      <c r="G620" s="725"/>
      <c r="H620" s="726" t="s">
        <v>46</v>
      </c>
      <c r="I620" s="727">
        <f ca="1">IFERROR(__xludf.DUMMYFUNCTION("IMPORTRANGE(""https://docs.google.com/spreadsheets/d/1kC41EOXpGBFOW658Fs3oD8beYlym0-zO54WY-2Qnp9I/edit?usp=share_link"",""กระบี่!I620"")
+IMPORTRANGE(""https://docs.google.com/spreadsheets/d/1FbzMZY_f3MDiEuK7RpCQKrilJ_kpX0Wm7QBZ1L7EjIU/edit?usp=share_link"&amp;""",""ชุมพร!I620"")+IMPORTRANGE(""https://docs.google.com/spreadsheets/d/1v5sN-00LrXuhBxw4dkh2GrG_z4l5oAqOdJRBCsUyMaM/edit?usp=share_link"",""ตรัง!I620"")+IMPORTRANGE(""https://docs.google.com/spreadsheets/d/1T5rRTzFc79aSIvqnzkZNvwPstq829QYz_xALlO1Z0s8/edi"&amp;"t?usp=share_link"",""นครศรีธรรมราช!I620"")+IMPORTRANGE(""https://docs.google.com/spreadsheets/d/1BeghqumK0IvCmRd2QOy6_afsZq7ZtAGrSnVJy2u7WmY/edit?usp=share_link"",""นราธิวาส!I620"")+IMPORTRANGE(""https://docs.google.com/spreadsheets/d/1IwnW3-jjRf74MCLW-6P"&amp;"iFwMUffRQXZwZA7YM609NmRc/edit?usp=share_link"",""ปัตตานี!I620"")+IMPORTRANGE(""https://docs.google.com/spreadsheets/d/1vl4QWbWdFruual5o_wdo6ZSqXZ_it806oja4CctTLKs/edit?usp=share_link"",""พังงา!I620"")+IMPORTRANGE(""https://docs.google.com/spreadsheets/d/1"&amp;"b6QssHQp2FoAPSMKHOy273KNzAomaIKhtdlvuZ_zDNE/edit?usp=share_link"",""พัทลุง!I620"")+IMPORTRANGE(""https://docs.google.com/spreadsheets/d/1o7UZe4_OqlqtLDHrj01Z2YFRSZDf1DMy1n3XViHaxRc/edit?usp=share_link"",""ภูเก็ต!I620"")+IMPORTRANGE(""https://docs.google.c"&amp;"om/spreadsheets/d/1ctPm1vUzcUCPuOj9-eoHUD85PqINFqUB0TjdSWmR5-c/edit?usp=share_link"",""ยะลา!I620"")+IMPORTRANGE(""https://docs.google.com/spreadsheets/d/1YiDIE7Klmt8osgdapRqYWNr7iPGFSsiJqq46S7PYRE0/edit?usp=share_link"",""ระนอง!I620"")+IMPORTRANGE(""https"&amp;"://docs.google.com/spreadsheets/d/16o_4B-V7AWw_6E93bSpXj_XxVv1oVQctk-B6z1dNEWU/edit?usp=share_link"",""สงขลา!I620"")+IMPORTRANGE(""https://docs.google.com/spreadsheets/d/16cywr71Fj4fA5OGRHsZh30ZG2gwJhMAQv69oVBzYHv0/edit?usp=share_link"",""สตูล!I620"")+IMP"&amp;"ORTRANGE(""https://docs.google.com/spreadsheets/d/1vO9Sws6kMtrVtyvrAJptINXjK8TFBoX9xLYOVK_C8bQ/edit?usp=share_link"",""สุราษฎร์ธานี!I620"")"),285)</f>
        <v>285</v>
      </c>
      <c r="J620" s="727">
        <f t="shared" ref="J620:J621" ca="1" si="296">J622+J624+J626</f>
        <v>285</v>
      </c>
      <c r="K620" s="728">
        <f t="shared" ref="K620:K621" ca="1" si="297">IF(I620&gt;0,J620*100/I620,0)</f>
        <v>100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20.25" customHeight="1">
      <c r="A621" s="721"/>
      <c r="B621" s="722"/>
      <c r="C621" s="730" t="s">
        <v>267</v>
      </c>
      <c r="D621" s="722"/>
      <c r="E621" s="722"/>
      <c r="F621" s="724"/>
      <c r="G621" s="725"/>
      <c r="H621" s="726" t="s">
        <v>34</v>
      </c>
      <c r="I621" s="727">
        <f ca="1">IFERROR(__xludf.DUMMYFUNCTION("IMPORTRANGE(""https://docs.google.com/spreadsheets/d/1kC41EOXpGBFOW658Fs3oD8beYlym0-zO54WY-2Qnp9I/edit?usp=share_link"",""กระบี่!I621"")
+IMPORTRANGE(""https://docs.google.com/spreadsheets/d/1FbzMZY_f3MDiEuK7RpCQKrilJ_kpX0Wm7QBZ1L7EjIU/edit?usp=share_link"&amp;""",""ชุมพร!I621"")+IMPORTRANGE(""https://docs.google.com/spreadsheets/d/1v5sN-00LrXuhBxw4dkh2GrG_z4l5oAqOdJRBCsUyMaM/edit?usp=share_link"",""ตรัง!I621"")+IMPORTRANGE(""https://docs.google.com/spreadsheets/d/1T5rRTzFc79aSIvqnzkZNvwPstq829QYz_xALlO1Z0s8/edi"&amp;"t?usp=share_link"",""นครศรีธรรมราช!I621"")+IMPORTRANGE(""https://docs.google.com/spreadsheets/d/1BeghqumK0IvCmRd2QOy6_afsZq7ZtAGrSnVJy2u7WmY/edit?usp=share_link"",""นราธิวาส!I621"")+IMPORTRANGE(""https://docs.google.com/spreadsheets/d/1IwnW3-jjRf74MCLW-6P"&amp;"iFwMUffRQXZwZA7YM609NmRc/edit?usp=share_link"",""ปัตตานี!I621"")+IMPORTRANGE(""https://docs.google.com/spreadsheets/d/1vl4QWbWdFruual5o_wdo6ZSqXZ_it806oja4CctTLKs/edit?usp=share_link"",""พังงา!I621"")+IMPORTRANGE(""https://docs.google.com/spreadsheets/d/1"&amp;"b6QssHQp2FoAPSMKHOy273KNzAomaIKhtdlvuZ_zDNE/edit?usp=share_link"",""พัทลุง!I621"")+IMPORTRANGE(""https://docs.google.com/spreadsheets/d/1o7UZe4_OqlqtLDHrj01Z2YFRSZDf1DMy1n3XViHaxRc/edit?usp=share_link"",""ภูเก็ต!I621"")+IMPORTRANGE(""https://docs.google.c"&amp;"om/spreadsheets/d/1ctPm1vUzcUCPuOj9-eoHUD85PqINFqUB0TjdSWmR5-c/edit?usp=share_link"",""ยะลา!I621"")+IMPORTRANGE(""https://docs.google.com/spreadsheets/d/1YiDIE7Klmt8osgdapRqYWNr7iPGFSsiJqq46S7PYRE0/edit?usp=share_link"",""ระนอง!I621"")+IMPORTRANGE(""https"&amp;"://docs.google.com/spreadsheets/d/16o_4B-V7AWw_6E93bSpXj_XxVv1oVQctk-B6z1dNEWU/edit?usp=share_link"",""สงขลา!I621"")+IMPORTRANGE(""https://docs.google.com/spreadsheets/d/16cywr71Fj4fA5OGRHsZh30ZG2gwJhMAQv69oVBzYHv0/edit?usp=share_link"",""สตูล!I621"")+IMP"&amp;"ORTRANGE(""https://docs.google.com/spreadsheets/d/1vO9Sws6kMtrVtyvrAJptINXjK8TFBoX9xLYOVK_C8bQ/edit?usp=share_link"",""สุราษฎร์ธานี!I621"")"),39)</f>
        <v>39</v>
      </c>
      <c r="J621" s="727">
        <f t="shared" ca="1" si="296"/>
        <v>39</v>
      </c>
      <c r="K621" s="728">
        <f t="shared" ca="1" si="297"/>
        <v>100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20.25" customHeight="1">
      <c r="A622" s="607"/>
      <c r="B622" s="608"/>
      <c r="C622" s="608"/>
      <c r="D622" s="262" t="s">
        <v>268</v>
      </c>
      <c r="E622" s="618"/>
      <c r="F622" s="618"/>
      <c r="G622" s="174"/>
      <c r="H622" s="181" t="s">
        <v>46</v>
      </c>
      <c r="I622" s="36"/>
      <c r="J622" s="182">
        <f ca="1">IFERROR(__xludf.DUMMYFUNCTION("IMPORTRANGE(""https://docs.google.com/spreadsheets/d/1kC41EOXpGBFOW658Fs3oD8beYlym0-zO54WY-2Qnp9I/edit?usp=share_link"",""กระบี่!J622"")
+IMPORTRANGE(""https://docs.google.com/spreadsheets/d/1FbzMZY_f3MDiEuK7RpCQKrilJ_kpX0Wm7QBZ1L7EjIU/edit?usp=share_link"&amp;""",""ชุมพร!J622"")+IMPORTRANGE(""https://docs.google.com/spreadsheets/d/1v5sN-00LrXuhBxw4dkh2GrG_z4l5oAqOdJRBCsUyMaM/edit?usp=share_link"",""ตรัง!J622"")+IMPORTRANGE(""https://docs.google.com/spreadsheets/d/1T5rRTzFc79aSIvqnzkZNvwPstq829QYz_xALlO1Z0s8/edi"&amp;"t?usp=share_link"",""นครศรีธรรมราช!J622"")+IMPORTRANGE(""https://docs.google.com/spreadsheets/d/1BeghqumK0IvCmRd2QOy6_afsZq7ZtAGrSnVJy2u7WmY/edit?usp=share_link"",""นราธิวาส!J622"")+IMPORTRANGE(""https://docs.google.com/spreadsheets/d/1IwnW3-jjRf74MCLW-6P"&amp;"iFwMUffRQXZwZA7YM609NmRc/edit?usp=share_link"",""ปัตตานี!J622"")+IMPORTRANGE(""https://docs.google.com/spreadsheets/d/1vl4QWbWdFruual5o_wdo6ZSqXZ_it806oja4CctTLKs/edit?usp=share_link"",""พังงา!J622"")+IMPORTRANGE(""https://docs.google.com/spreadsheets/d/1"&amp;"b6QssHQp2FoAPSMKHOy273KNzAomaIKhtdlvuZ_zDNE/edit?usp=share_link"",""พัทลุง!J622"")+IMPORTRANGE(""https://docs.google.com/spreadsheets/d/1o7UZe4_OqlqtLDHrj01Z2YFRSZDf1DMy1n3XViHaxRc/edit?usp=share_link"",""ภูเก็ต!J622"")+IMPORTRANGE(""https://docs.google.c"&amp;"om/spreadsheets/d/1ctPm1vUzcUCPuOj9-eoHUD85PqINFqUB0TjdSWmR5-c/edit?usp=share_link"",""ยะลา!J622"")+IMPORTRANGE(""https://docs.google.com/spreadsheets/d/1YiDIE7Klmt8osgdapRqYWNr7iPGFSsiJqq46S7PYRE0/edit?usp=share_link"",""ระนอง!J622"")+IMPORTRANGE(""https"&amp;"://docs.google.com/spreadsheets/d/16o_4B-V7AWw_6E93bSpXj_XxVv1oVQctk-B6z1dNEWU/edit?usp=share_link"",""สงขลา!J622"")+IMPORTRANGE(""https://docs.google.com/spreadsheets/d/16cywr71Fj4fA5OGRHsZh30ZG2gwJhMAQv69oVBzYHv0/edit?usp=share_link"",""สตูล!J622"")+IMP"&amp;"ORTRANGE(""https://docs.google.com/spreadsheets/d/1vO9Sws6kMtrVtyvrAJptINXjK8TFBoX9xLYOVK_C8bQ/edit?usp=share_link"",""สุราษฎร์ธานี!J622"")"),213)</f>
        <v>213</v>
      </c>
      <c r="K622" s="162"/>
      <c r="L622" s="162"/>
      <c r="M622" s="162"/>
      <c r="N622" s="162"/>
      <c r="O622" s="162"/>
      <c r="P622" s="162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20.25" customHeight="1">
      <c r="A623" s="607"/>
      <c r="B623" s="608"/>
      <c r="C623" s="608"/>
      <c r="D623" s="608"/>
      <c r="E623" s="618"/>
      <c r="F623" s="618"/>
      <c r="G623" s="174"/>
      <c r="H623" s="181" t="s">
        <v>34</v>
      </c>
      <c r="I623" s="36"/>
      <c r="J623" s="182">
        <f ca="1">IFERROR(__xludf.DUMMYFUNCTION("IMPORTRANGE(""https://docs.google.com/spreadsheets/d/1kC41EOXpGBFOW658Fs3oD8beYlym0-zO54WY-2Qnp9I/edit?usp=share_link"",""กระบี่!J623"")
+IMPORTRANGE(""https://docs.google.com/spreadsheets/d/1FbzMZY_f3MDiEuK7RpCQKrilJ_kpX0Wm7QBZ1L7EjIU/edit?usp=share_link"&amp;""",""ชุมพร!J623"")+IMPORTRANGE(""https://docs.google.com/spreadsheets/d/1v5sN-00LrXuhBxw4dkh2GrG_z4l5oAqOdJRBCsUyMaM/edit?usp=share_link"",""ตรัง!J623"")+IMPORTRANGE(""https://docs.google.com/spreadsheets/d/1T5rRTzFc79aSIvqnzkZNvwPstq829QYz_xALlO1Z0s8/edi"&amp;"t?usp=share_link"",""นครศรีธรรมราช!J623"")+IMPORTRANGE(""https://docs.google.com/spreadsheets/d/1BeghqumK0IvCmRd2QOy6_afsZq7ZtAGrSnVJy2u7WmY/edit?usp=share_link"",""นราธิวาส!J623"")+IMPORTRANGE(""https://docs.google.com/spreadsheets/d/1IwnW3-jjRf74MCLW-6P"&amp;"iFwMUffRQXZwZA7YM609NmRc/edit?usp=share_link"",""ปัตตานี!J623"")+IMPORTRANGE(""https://docs.google.com/spreadsheets/d/1vl4QWbWdFruual5o_wdo6ZSqXZ_it806oja4CctTLKs/edit?usp=share_link"",""พังงา!J623"")+IMPORTRANGE(""https://docs.google.com/spreadsheets/d/1"&amp;"b6QssHQp2FoAPSMKHOy273KNzAomaIKhtdlvuZ_zDNE/edit?usp=share_link"",""พัทลุง!J623"")+IMPORTRANGE(""https://docs.google.com/spreadsheets/d/1o7UZe4_OqlqtLDHrj01Z2YFRSZDf1DMy1n3XViHaxRc/edit?usp=share_link"",""ภูเก็ต!J623"")+IMPORTRANGE(""https://docs.google.c"&amp;"om/spreadsheets/d/1ctPm1vUzcUCPuOj9-eoHUD85PqINFqUB0TjdSWmR5-c/edit?usp=share_link"",""ยะลา!J623"")+IMPORTRANGE(""https://docs.google.com/spreadsheets/d/1YiDIE7Klmt8osgdapRqYWNr7iPGFSsiJqq46S7PYRE0/edit?usp=share_link"",""ระนอง!J623"")+IMPORTRANGE(""https"&amp;"://docs.google.com/spreadsheets/d/16o_4B-V7AWw_6E93bSpXj_XxVv1oVQctk-B6z1dNEWU/edit?usp=share_link"",""สงขลา!J623"")+IMPORTRANGE(""https://docs.google.com/spreadsheets/d/16cywr71Fj4fA5OGRHsZh30ZG2gwJhMAQv69oVBzYHv0/edit?usp=share_link"",""สตูล!J623"")+IMP"&amp;"ORTRANGE(""https://docs.google.com/spreadsheets/d/1vO9Sws6kMtrVtyvrAJptINXjK8TFBoX9xLYOVK_C8bQ/edit?usp=share_link"",""สุราษฎร์ธานี!J623"")"),34)</f>
        <v>34</v>
      </c>
      <c r="K623" s="162"/>
      <c r="L623" s="162"/>
      <c r="M623" s="162"/>
      <c r="N623" s="162"/>
      <c r="O623" s="162"/>
      <c r="P623" s="162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20.25" customHeight="1">
      <c r="A624" s="607"/>
      <c r="B624" s="608"/>
      <c r="C624" s="608"/>
      <c r="D624" s="262" t="s">
        <v>264</v>
      </c>
      <c r="E624" s="618"/>
      <c r="F624" s="618"/>
      <c r="G624" s="174"/>
      <c r="H624" s="181" t="s">
        <v>46</v>
      </c>
      <c r="I624" s="36"/>
      <c r="J624" s="182">
        <f ca="1">IFERROR(__xludf.DUMMYFUNCTION("IMPORTRANGE(""https://docs.google.com/spreadsheets/d/1kC41EOXpGBFOW658Fs3oD8beYlym0-zO54WY-2Qnp9I/edit?usp=share_link"",""กระบี่!J624"")
+IMPORTRANGE(""https://docs.google.com/spreadsheets/d/1FbzMZY_f3MDiEuK7RpCQKrilJ_kpX0Wm7QBZ1L7EjIU/edit?usp=share_link"&amp;""",""ชุมพร!J624"")+IMPORTRANGE(""https://docs.google.com/spreadsheets/d/1v5sN-00LrXuhBxw4dkh2GrG_z4l5oAqOdJRBCsUyMaM/edit?usp=share_link"",""ตรัง!J624"")+IMPORTRANGE(""https://docs.google.com/spreadsheets/d/1T5rRTzFc79aSIvqnzkZNvwPstq829QYz_xALlO1Z0s8/edi"&amp;"t?usp=share_link"",""นครศรีธรรมราช!J624"")+IMPORTRANGE(""https://docs.google.com/spreadsheets/d/1BeghqumK0IvCmRd2QOy6_afsZq7ZtAGrSnVJy2u7WmY/edit?usp=share_link"",""นราธิวาส!J624"")+IMPORTRANGE(""https://docs.google.com/spreadsheets/d/1IwnW3-jjRf74MCLW-6P"&amp;"iFwMUffRQXZwZA7YM609NmRc/edit?usp=share_link"",""ปัตตานี!J624"")+IMPORTRANGE(""https://docs.google.com/spreadsheets/d/1vl4QWbWdFruual5o_wdo6ZSqXZ_it806oja4CctTLKs/edit?usp=share_link"",""พังงา!J624"")+IMPORTRANGE(""https://docs.google.com/spreadsheets/d/1"&amp;"b6QssHQp2FoAPSMKHOy273KNzAomaIKhtdlvuZ_zDNE/edit?usp=share_link"",""พัทลุง!J624"")+IMPORTRANGE(""https://docs.google.com/spreadsheets/d/1o7UZe4_OqlqtLDHrj01Z2YFRSZDf1DMy1n3XViHaxRc/edit?usp=share_link"",""ภูเก็ต!J624"")+IMPORTRANGE(""https://docs.google.c"&amp;"om/spreadsheets/d/1ctPm1vUzcUCPuOj9-eoHUD85PqINFqUB0TjdSWmR5-c/edit?usp=share_link"",""ยะลา!J624"")+IMPORTRANGE(""https://docs.google.com/spreadsheets/d/1YiDIE7Klmt8osgdapRqYWNr7iPGFSsiJqq46S7PYRE0/edit?usp=share_link"",""ระนอง!J624"")+IMPORTRANGE(""https"&amp;"://docs.google.com/spreadsheets/d/16o_4B-V7AWw_6E93bSpXj_XxVv1oVQctk-B6z1dNEWU/edit?usp=share_link"",""สงขลา!J624"")+IMPORTRANGE(""https://docs.google.com/spreadsheets/d/16cywr71Fj4fA5OGRHsZh30ZG2gwJhMAQv69oVBzYHv0/edit?usp=share_link"",""สตูล!J624"")+IMP"&amp;"ORTRANGE(""https://docs.google.com/spreadsheets/d/1vO9Sws6kMtrVtyvrAJptINXjK8TFBoX9xLYOVK_C8bQ/edit?usp=share_link"",""สุราษฎร์ธานี!J624"")"),71)</f>
        <v>71</v>
      </c>
      <c r="K624" s="162"/>
      <c r="L624" s="162"/>
      <c r="M624" s="162"/>
      <c r="N624" s="162"/>
      <c r="O624" s="162"/>
      <c r="P624" s="162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20.25" customHeight="1">
      <c r="A625" s="607"/>
      <c r="B625" s="608"/>
      <c r="C625" s="608"/>
      <c r="D625" s="608"/>
      <c r="E625" s="618"/>
      <c r="F625" s="618"/>
      <c r="G625" s="174"/>
      <c r="H625" s="181" t="s">
        <v>34</v>
      </c>
      <c r="I625" s="36"/>
      <c r="J625" s="182">
        <f ca="1">IFERROR(__xludf.DUMMYFUNCTION("IMPORTRANGE(""https://docs.google.com/spreadsheets/d/1kC41EOXpGBFOW658Fs3oD8beYlym0-zO54WY-2Qnp9I/edit?usp=share_link"",""กระบี่!J625"")
+IMPORTRANGE(""https://docs.google.com/spreadsheets/d/1FbzMZY_f3MDiEuK7RpCQKrilJ_kpX0Wm7QBZ1L7EjIU/edit?usp=share_link"&amp;""",""ชุมพร!J625"")+IMPORTRANGE(""https://docs.google.com/spreadsheets/d/1v5sN-00LrXuhBxw4dkh2GrG_z4l5oAqOdJRBCsUyMaM/edit?usp=share_link"",""ตรัง!J625"")+IMPORTRANGE(""https://docs.google.com/spreadsheets/d/1T5rRTzFc79aSIvqnzkZNvwPstq829QYz_xALlO1Z0s8/edi"&amp;"t?usp=share_link"",""นครศรีธรรมราช!J625"")+IMPORTRANGE(""https://docs.google.com/spreadsheets/d/1BeghqumK0IvCmRd2QOy6_afsZq7ZtAGrSnVJy2u7WmY/edit?usp=share_link"",""นราธิวาส!J625"")+IMPORTRANGE(""https://docs.google.com/spreadsheets/d/1IwnW3-jjRf74MCLW-6P"&amp;"iFwMUffRQXZwZA7YM609NmRc/edit?usp=share_link"",""ปัตตานี!J625"")+IMPORTRANGE(""https://docs.google.com/spreadsheets/d/1vl4QWbWdFruual5o_wdo6ZSqXZ_it806oja4CctTLKs/edit?usp=share_link"",""พังงา!J625"")+IMPORTRANGE(""https://docs.google.com/spreadsheets/d/1"&amp;"b6QssHQp2FoAPSMKHOy273KNzAomaIKhtdlvuZ_zDNE/edit?usp=share_link"",""พัทลุง!J625"")+IMPORTRANGE(""https://docs.google.com/spreadsheets/d/1o7UZe4_OqlqtLDHrj01Z2YFRSZDf1DMy1n3XViHaxRc/edit?usp=share_link"",""ภูเก็ต!J625"")+IMPORTRANGE(""https://docs.google.c"&amp;"om/spreadsheets/d/1ctPm1vUzcUCPuOj9-eoHUD85PqINFqUB0TjdSWmR5-c/edit?usp=share_link"",""ยะลา!J625"")+IMPORTRANGE(""https://docs.google.com/spreadsheets/d/1YiDIE7Klmt8osgdapRqYWNr7iPGFSsiJqq46S7PYRE0/edit?usp=share_link"",""ระนอง!J625"")+IMPORTRANGE(""https"&amp;"://docs.google.com/spreadsheets/d/16o_4B-V7AWw_6E93bSpXj_XxVv1oVQctk-B6z1dNEWU/edit?usp=share_link"",""สงขลา!J625"")+IMPORTRANGE(""https://docs.google.com/spreadsheets/d/16cywr71Fj4fA5OGRHsZh30ZG2gwJhMAQv69oVBzYHv0/edit?usp=share_link"",""สตูล!J625"")+IMP"&amp;"ORTRANGE(""https://docs.google.com/spreadsheets/d/1vO9Sws6kMtrVtyvrAJptINXjK8TFBoX9xLYOVK_C8bQ/edit?usp=share_link"",""สุราษฎร์ธานี!J625"")"),2)</f>
        <v>2</v>
      </c>
      <c r="K625" s="162"/>
      <c r="L625" s="162"/>
      <c r="M625" s="162"/>
      <c r="N625" s="162"/>
      <c r="O625" s="162"/>
      <c r="P625" s="162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20.25" customHeight="1">
      <c r="A626" s="607"/>
      <c r="B626" s="608"/>
      <c r="C626" s="608"/>
      <c r="D626" s="262" t="s">
        <v>269</v>
      </c>
      <c r="E626" s="618"/>
      <c r="F626" s="618"/>
      <c r="G626" s="174"/>
      <c r="H626" s="181" t="s">
        <v>46</v>
      </c>
      <c r="I626" s="36"/>
      <c r="J626" s="182">
        <f ca="1">IFERROR(__xludf.DUMMYFUNCTION("IMPORTRANGE(""https://docs.google.com/spreadsheets/d/1kC41EOXpGBFOW658Fs3oD8beYlym0-zO54WY-2Qnp9I/edit?usp=share_link"",""กระบี่!J626"")
+IMPORTRANGE(""https://docs.google.com/spreadsheets/d/1FbzMZY_f3MDiEuK7RpCQKrilJ_kpX0Wm7QBZ1L7EjIU/edit?usp=share_link"&amp;""",""ชุมพร!J626"")+IMPORTRANGE(""https://docs.google.com/spreadsheets/d/1v5sN-00LrXuhBxw4dkh2GrG_z4l5oAqOdJRBCsUyMaM/edit?usp=share_link"",""ตรัง!J626"")+IMPORTRANGE(""https://docs.google.com/spreadsheets/d/1T5rRTzFc79aSIvqnzkZNvwPstq829QYz_xALlO1Z0s8/edi"&amp;"t?usp=share_link"",""นครศรีธรรมราช!J626"")+IMPORTRANGE(""https://docs.google.com/spreadsheets/d/1BeghqumK0IvCmRd2QOy6_afsZq7ZtAGrSnVJy2u7WmY/edit?usp=share_link"",""นราธิวาส!J626"")+IMPORTRANGE(""https://docs.google.com/spreadsheets/d/1IwnW3-jjRf74MCLW-6P"&amp;"iFwMUffRQXZwZA7YM609NmRc/edit?usp=share_link"",""ปัตตานี!J626"")+IMPORTRANGE(""https://docs.google.com/spreadsheets/d/1vl4QWbWdFruual5o_wdo6ZSqXZ_it806oja4CctTLKs/edit?usp=share_link"",""พังงา!J626"")+IMPORTRANGE(""https://docs.google.com/spreadsheets/d/1"&amp;"b6QssHQp2FoAPSMKHOy273KNzAomaIKhtdlvuZ_zDNE/edit?usp=share_link"",""พัทลุง!J626"")+IMPORTRANGE(""https://docs.google.com/spreadsheets/d/1o7UZe4_OqlqtLDHrj01Z2YFRSZDf1DMy1n3XViHaxRc/edit?usp=share_link"",""ภูเก็ต!J626"")+IMPORTRANGE(""https://docs.google.c"&amp;"om/spreadsheets/d/1ctPm1vUzcUCPuOj9-eoHUD85PqINFqUB0TjdSWmR5-c/edit?usp=share_link"",""ยะลา!J626"")+IMPORTRANGE(""https://docs.google.com/spreadsheets/d/1YiDIE7Klmt8osgdapRqYWNr7iPGFSsiJqq46S7PYRE0/edit?usp=share_link"",""ระนอง!J626"")+IMPORTRANGE(""https"&amp;"://docs.google.com/spreadsheets/d/16o_4B-V7AWw_6E93bSpXj_XxVv1oVQctk-B6z1dNEWU/edit?usp=share_link"",""สงขลา!J626"")+IMPORTRANGE(""https://docs.google.com/spreadsheets/d/16cywr71Fj4fA5OGRHsZh30ZG2gwJhMAQv69oVBzYHv0/edit?usp=share_link"",""สตูล!J626"")+IMP"&amp;"ORTRANGE(""https://docs.google.com/spreadsheets/d/1vO9Sws6kMtrVtyvrAJptINXjK8TFBoX9xLYOVK_C8bQ/edit?usp=share_link"",""สุราษฎร์ธานี!J626"")"),1)</f>
        <v>1</v>
      </c>
      <c r="K626" s="162"/>
      <c r="L626" s="162"/>
      <c r="M626" s="162"/>
      <c r="N626" s="162"/>
      <c r="O626" s="162"/>
      <c r="P626" s="162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20.25" customHeight="1">
      <c r="A627" s="731"/>
      <c r="B627" s="732"/>
      <c r="C627" s="732"/>
      <c r="D627" s="732"/>
      <c r="E627" s="733"/>
      <c r="F627" s="733"/>
      <c r="G627" s="734"/>
      <c r="H627" s="422" t="s">
        <v>34</v>
      </c>
      <c r="I627" s="505"/>
      <c r="J627" s="424">
        <f ca="1">IFERROR(__xludf.DUMMYFUNCTION("IMPORTRANGE(""https://docs.google.com/spreadsheets/d/1kC41EOXpGBFOW658Fs3oD8beYlym0-zO54WY-2Qnp9I/edit?usp=share_link"",""กระบี่!J627"")
+IMPORTRANGE(""https://docs.google.com/spreadsheets/d/1FbzMZY_f3MDiEuK7RpCQKrilJ_kpX0Wm7QBZ1L7EjIU/edit?usp=share_link"&amp;""",""ชุมพร!J627"")+IMPORTRANGE(""https://docs.google.com/spreadsheets/d/1v5sN-00LrXuhBxw4dkh2GrG_z4l5oAqOdJRBCsUyMaM/edit?usp=share_link"",""ตรัง!J627"")+IMPORTRANGE(""https://docs.google.com/spreadsheets/d/1T5rRTzFc79aSIvqnzkZNvwPstq829QYz_xALlO1Z0s8/edi"&amp;"t?usp=share_link"",""นครศรีธรรมราช!J627"")+IMPORTRANGE(""https://docs.google.com/spreadsheets/d/1BeghqumK0IvCmRd2QOy6_afsZq7ZtAGrSnVJy2u7WmY/edit?usp=share_link"",""นราธิวาส!J627"")+IMPORTRANGE(""https://docs.google.com/spreadsheets/d/1IwnW3-jjRf74MCLW-6P"&amp;"iFwMUffRQXZwZA7YM609NmRc/edit?usp=share_link"",""ปัตตานี!J627"")+IMPORTRANGE(""https://docs.google.com/spreadsheets/d/1vl4QWbWdFruual5o_wdo6ZSqXZ_it806oja4CctTLKs/edit?usp=share_link"",""พังงา!J627"")+IMPORTRANGE(""https://docs.google.com/spreadsheets/d/1"&amp;"b6QssHQp2FoAPSMKHOy273KNzAomaIKhtdlvuZ_zDNE/edit?usp=share_link"",""พัทลุง!J627"")+IMPORTRANGE(""https://docs.google.com/spreadsheets/d/1o7UZe4_OqlqtLDHrj01Z2YFRSZDf1DMy1n3XViHaxRc/edit?usp=share_link"",""ภูเก็ต!J627"")+IMPORTRANGE(""https://docs.google.c"&amp;"om/spreadsheets/d/1ctPm1vUzcUCPuOj9-eoHUD85PqINFqUB0TjdSWmR5-c/edit?usp=share_link"",""ยะลา!J627"")+IMPORTRANGE(""https://docs.google.com/spreadsheets/d/1YiDIE7Klmt8osgdapRqYWNr7iPGFSsiJqq46S7PYRE0/edit?usp=share_link"",""ระนอง!J627"")+IMPORTRANGE(""https"&amp;"://docs.google.com/spreadsheets/d/16o_4B-V7AWw_6E93bSpXj_XxVv1oVQctk-B6z1dNEWU/edit?usp=share_link"",""สงขลา!J627"")+IMPORTRANGE(""https://docs.google.com/spreadsheets/d/16cywr71Fj4fA5OGRHsZh30ZG2gwJhMAQv69oVBzYHv0/edit?usp=share_link"",""สตูล!J627"")+IMP"&amp;"ORTRANGE(""https://docs.google.com/spreadsheets/d/1vO9Sws6kMtrVtyvrAJptINXjK8TFBoX9xLYOVK_C8bQ/edit?usp=share_link"",""สุราษฎร์ธานี!J627"")"),3)</f>
        <v>3</v>
      </c>
      <c r="K627" s="384"/>
      <c r="L627" s="384"/>
      <c r="M627" s="384"/>
      <c r="N627" s="384"/>
      <c r="O627" s="384"/>
      <c r="P627" s="384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20.25" customHeight="1">
      <c r="A628" s="735">
        <v>7</v>
      </c>
      <c r="B628" s="736" t="s">
        <v>270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98">I651</f>
        <v>243</v>
      </c>
      <c r="J628" s="740">
        <f t="shared" ca="1" si="298"/>
        <v>245</v>
      </c>
      <c r="K628" s="741">
        <f ca="1">IF(I628&gt;0,J628*100/I628,0)</f>
        <v>100.82304526748972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20.25" customHeight="1">
      <c r="A629" s="596"/>
      <c r="B629" s="575"/>
      <c r="C629" s="575" t="s">
        <v>16</v>
      </c>
      <c r="D629" s="887" t="s">
        <v>17</v>
      </c>
      <c r="E629" s="888"/>
      <c r="F629" s="888"/>
      <c r="G629" s="188"/>
      <c r="H629" s="597" t="s">
        <v>12</v>
      </c>
      <c r="I629" s="36"/>
      <c r="J629" s="36"/>
      <c r="K629" s="37"/>
      <c r="L629" s="194">
        <f t="shared" ref="L629:N629" ca="1" si="299">L630+L631</f>
        <v>1558770</v>
      </c>
      <c r="M629" s="194">
        <f t="shared" ca="1" si="299"/>
        <v>1073315.57</v>
      </c>
      <c r="N629" s="194">
        <f t="shared" ca="1" si="299"/>
        <v>1073315.57</v>
      </c>
      <c r="O629" s="194">
        <f t="shared" ref="O629:O634" ca="1" si="300">IF(L629&gt;0,N629*100/L629,0)</f>
        <v>68.856570886019099</v>
      </c>
      <c r="P629" s="194">
        <f t="shared" ref="P629:P634" ca="1" si="301">IF(M629&gt;0,N629*100/M629,0)</f>
        <v>100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20.25" hidden="1" customHeight="1">
      <c r="A630" s="598"/>
      <c r="B630" s="599"/>
      <c r="C630" s="599"/>
      <c r="D630" s="600"/>
      <c r="E630" s="601" t="s">
        <v>184</v>
      </c>
      <c r="F630" s="599"/>
      <c r="G630" s="602"/>
      <c r="H630" s="164" t="s">
        <v>12</v>
      </c>
      <c r="I630" s="43"/>
      <c r="J630" s="43"/>
      <c r="K630" s="44"/>
      <c r="L630" s="44">
        <f t="shared" ref="L630:N630" si="302">L633+L640</f>
        <v>0</v>
      </c>
      <c r="M630" s="44">
        <f t="shared" si="302"/>
        <v>0</v>
      </c>
      <c r="N630" s="44">
        <f t="shared" si="302"/>
        <v>0</v>
      </c>
      <c r="O630" s="44">
        <f t="shared" si="300"/>
        <v>0</v>
      </c>
      <c r="P630" s="44">
        <f t="shared" si="301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20.25" hidden="1" customHeight="1">
      <c r="A631" s="598"/>
      <c r="B631" s="604"/>
      <c r="C631" s="599"/>
      <c r="D631" s="600"/>
      <c r="E631" s="601" t="s">
        <v>185</v>
      </c>
      <c r="F631" s="599"/>
      <c r="G631" s="602"/>
      <c r="H631" s="164" t="s">
        <v>12</v>
      </c>
      <c r="I631" s="43"/>
      <c r="J631" s="43"/>
      <c r="K631" s="44"/>
      <c r="L631" s="44">
        <f t="shared" ref="L631:N631" ca="1" si="303">L634+L641</f>
        <v>1558770</v>
      </c>
      <c r="M631" s="44">
        <f t="shared" ca="1" si="303"/>
        <v>1073315.57</v>
      </c>
      <c r="N631" s="44">
        <f t="shared" ca="1" si="303"/>
        <v>1073315.57</v>
      </c>
      <c r="O631" s="44">
        <f t="shared" ca="1" si="300"/>
        <v>68.856570886019099</v>
      </c>
      <c r="P631" s="44">
        <f t="shared" ca="1" si="301"/>
        <v>100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20.25" customHeight="1">
      <c r="A632" s="596"/>
      <c r="B632" s="574"/>
      <c r="C632" s="575"/>
      <c r="D632" s="605" t="s">
        <v>20</v>
      </c>
      <c r="E632" s="575"/>
      <c r="F632" s="575"/>
      <c r="G632" s="188"/>
      <c r="H632" s="160" t="s">
        <v>12</v>
      </c>
      <c r="I632" s="161"/>
      <c r="J632" s="161"/>
      <c r="K632" s="162"/>
      <c r="L632" s="37">
        <f t="shared" ref="L632:N632" ca="1" si="304">L633+L634</f>
        <v>1558770</v>
      </c>
      <c r="M632" s="37">
        <f t="shared" ca="1" si="304"/>
        <v>1073315.57</v>
      </c>
      <c r="N632" s="37">
        <f t="shared" ca="1" si="304"/>
        <v>1073315.57</v>
      </c>
      <c r="O632" s="37">
        <f t="shared" ca="1" si="300"/>
        <v>68.856570886019099</v>
      </c>
      <c r="P632" s="37">
        <f t="shared" ca="1" si="301"/>
        <v>100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20.25" hidden="1" customHeight="1">
      <c r="A633" s="598"/>
      <c r="B633" s="604"/>
      <c r="C633" s="599"/>
      <c r="D633" s="600"/>
      <c r="E633" s="601" t="s">
        <v>184</v>
      </c>
      <c r="F633" s="599"/>
      <c r="G633" s="602"/>
      <c r="H633" s="164" t="s">
        <v>12</v>
      </c>
      <c r="I633" s="43"/>
      <c r="J633" s="43"/>
      <c r="K633" s="44"/>
      <c r="L633" s="92">
        <v>0</v>
      </c>
      <c r="M633" s="92">
        <v>0</v>
      </c>
      <c r="N633" s="92">
        <v>0</v>
      </c>
      <c r="O633" s="44">
        <f t="shared" si="300"/>
        <v>0</v>
      </c>
      <c r="P633" s="44">
        <f t="shared" si="301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20.25" hidden="1" customHeight="1">
      <c r="A634" s="598"/>
      <c r="B634" s="604"/>
      <c r="C634" s="599"/>
      <c r="D634" s="600"/>
      <c r="E634" s="601" t="s">
        <v>185</v>
      </c>
      <c r="F634" s="599"/>
      <c r="G634" s="602"/>
      <c r="H634" s="164" t="s">
        <v>12</v>
      </c>
      <c r="I634" s="43"/>
      <c r="J634" s="43"/>
      <c r="K634" s="44"/>
      <c r="L634" s="44">
        <f ca="1">IFERROR(__xludf.DUMMYFUNCTION("IMPORTRANGE(""https://docs.google.com/spreadsheets/d/1kC41EOXpGBFOW658Fs3oD8beYlym0-zO54WY-2Qnp9I/edit?usp=share_link"",""กระบี่!L634"")
+IMPORTRANGE(""https://docs.google.com/spreadsheets/d/1FbzMZY_f3MDiEuK7RpCQKrilJ_kpX0Wm7QBZ1L7EjIU/edit?usp=share_link"&amp;""",""ชุมพร!L634"")+IMPORTRANGE(""https://docs.google.com/spreadsheets/d/1v5sN-00LrXuhBxw4dkh2GrG_z4l5oAqOdJRBCsUyMaM/edit?usp=share_link"",""ตรัง!L634"")+IMPORTRANGE(""https://docs.google.com/spreadsheets/d/1T5rRTzFc79aSIvqnzkZNvwPstq829QYz_xALlO1Z0s8/edi"&amp;"t?usp=share_link"",""นครศรีธรรมราช!L634"")+IMPORTRANGE(""https://docs.google.com/spreadsheets/d/1BeghqumK0IvCmRd2QOy6_afsZq7ZtAGrSnVJy2u7WmY/edit?usp=share_link"",""นราธิวาส!L634"")+IMPORTRANGE(""https://docs.google.com/spreadsheets/d/1IwnW3-jjRf74MCLW-6P"&amp;"iFwMUffRQXZwZA7YM609NmRc/edit?usp=share_link"",""ปัตตานี!L634"")+IMPORTRANGE(""https://docs.google.com/spreadsheets/d/1vl4QWbWdFruual5o_wdo6ZSqXZ_it806oja4CctTLKs/edit?usp=share_link"",""พังงา!L634"")+IMPORTRANGE(""https://docs.google.com/spreadsheets/d/1"&amp;"b6QssHQp2FoAPSMKHOy273KNzAomaIKhtdlvuZ_zDNE/edit?usp=share_link"",""พัทลุง!L634"")+IMPORTRANGE(""https://docs.google.com/spreadsheets/d/1o7UZe4_OqlqtLDHrj01Z2YFRSZDf1DMy1n3XViHaxRc/edit?usp=share_link"",""ภูเก็ต!L634"")+IMPORTRANGE(""https://docs.google.c"&amp;"om/spreadsheets/d/1ctPm1vUzcUCPuOj9-eoHUD85PqINFqUB0TjdSWmR5-c/edit?usp=share_link"",""ยะลา!L634"")+IMPORTRANGE(""https://docs.google.com/spreadsheets/d/1YiDIE7Klmt8osgdapRqYWNr7iPGFSsiJqq46S7PYRE0/edit?usp=share_link"",""ระนอง!L634"")+IMPORTRANGE(""https"&amp;"://docs.google.com/spreadsheets/d/16o_4B-V7AWw_6E93bSpXj_XxVv1oVQctk-B6z1dNEWU/edit?usp=share_link"",""สงขลา!L634"")+IMPORTRANGE(""https://docs.google.com/spreadsheets/d/16cywr71Fj4fA5OGRHsZh30ZG2gwJhMAQv69oVBzYHv0/edit?usp=share_link"",""สตูล!L634"")+IMP"&amp;"ORTRANGE(""https://docs.google.com/spreadsheets/d/1vO9Sws6kMtrVtyvrAJptINXjK8TFBoX9xLYOVK_C8bQ/edit?usp=share_link"",""สุราษฎร์ธานี!L634"")"),1558770)</f>
        <v>1558770</v>
      </c>
      <c r="M634" s="92">
        <f ca="1">IFERROR(__xludf.DUMMYFUNCTION("IMPORTRANGE(""https://docs.google.com/spreadsheets/d/1kC41EOXpGBFOW658Fs3oD8beYlym0-zO54WY-2Qnp9I/edit?usp=share_link"",""กระบี่!M634"")
+IMPORTRANGE(""https://docs.google.com/spreadsheets/d/1FbzMZY_f3MDiEuK7RpCQKrilJ_kpX0Wm7QBZ1L7EjIU/edit?usp=share_link"&amp;""",""ชุมพร!M634"")+IMPORTRANGE(""https://docs.google.com/spreadsheets/d/1v5sN-00LrXuhBxw4dkh2GrG_z4l5oAqOdJRBCsUyMaM/edit?usp=share_link"",""ตรัง!M634"")+IMPORTRANGE(""https://docs.google.com/spreadsheets/d/1T5rRTzFc79aSIvqnzkZNvwPstq829QYz_xALlO1Z0s8/edi"&amp;"t?usp=share_link"",""นครศรีธรรมราช!M634"")+IMPORTRANGE(""https://docs.google.com/spreadsheets/d/1BeghqumK0IvCmRd2QOy6_afsZq7ZtAGrSnVJy2u7WmY/edit?usp=share_link"",""นราธิวาส!M634"")+IMPORTRANGE(""https://docs.google.com/spreadsheets/d/1IwnW3-jjRf74MCLW-6P"&amp;"iFwMUffRQXZwZA7YM609NmRc/edit?usp=share_link"",""ปัตตานี!M634"")+IMPORTRANGE(""https://docs.google.com/spreadsheets/d/1vl4QWbWdFruual5o_wdo6ZSqXZ_it806oja4CctTLKs/edit?usp=share_link"",""พังงา!M634"")+IMPORTRANGE(""https://docs.google.com/spreadsheets/d/1"&amp;"b6QssHQp2FoAPSMKHOy273KNzAomaIKhtdlvuZ_zDNE/edit?usp=share_link"",""พัทลุง!M634"")+IMPORTRANGE(""https://docs.google.com/spreadsheets/d/1o7UZe4_OqlqtLDHrj01Z2YFRSZDf1DMy1n3XViHaxRc/edit?usp=share_link"",""ภูเก็ต!M634"")+IMPORTRANGE(""https://docs.google.c"&amp;"om/spreadsheets/d/1ctPm1vUzcUCPuOj9-eoHUD85PqINFqUB0TjdSWmR5-c/edit?usp=share_link"",""ยะลา!M634"")+IMPORTRANGE(""https://docs.google.com/spreadsheets/d/1YiDIE7Klmt8osgdapRqYWNr7iPGFSsiJqq46S7PYRE0/edit?usp=share_link"",""ระนอง!M634"")+IMPORTRANGE(""https"&amp;"://docs.google.com/spreadsheets/d/16o_4B-V7AWw_6E93bSpXj_XxVv1oVQctk-B6z1dNEWU/edit?usp=share_link"",""สงขลา!M634"")+IMPORTRANGE(""https://docs.google.com/spreadsheets/d/16cywr71Fj4fA5OGRHsZh30ZG2gwJhMAQv69oVBzYHv0/edit?usp=share_link"",""สตูล!M634"")+IMP"&amp;"ORTRANGE(""https://docs.google.com/spreadsheets/d/1vO9Sws6kMtrVtyvrAJptINXjK8TFBoX9xLYOVK_C8bQ/edit?usp=share_link"",""สุราษฎร์ธานี!M634"")"),1073315.57)</f>
        <v>1073315.57</v>
      </c>
      <c r="N634" s="44">
        <f ca="1">N635+N636+N637+N638</f>
        <v>1073315.57</v>
      </c>
      <c r="O634" s="44">
        <f t="shared" ca="1" si="300"/>
        <v>68.856570886019099</v>
      </c>
      <c r="P634" s="44">
        <f t="shared" ca="1" si="301"/>
        <v>100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20.25" customHeight="1">
      <c r="A635" s="573"/>
      <c r="B635" s="574"/>
      <c r="C635" s="575"/>
      <c r="D635" s="575"/>
      <c r="E635" s="575"/>
      <c r="F635" s="576" t="s">
        <v>186</v>
      </c>
      <c r="G635" s="188"/>
      <c r="H635" s="160" t="s">
        <v>12</v>
      </c>
      <c r="I635" s="36"/>
      <c r="J635" s="36"/>
      <c r="K635" s="37"/>
      <c r="L635" s="37"/>
      <c r="M635" s="37"/>
      <c r="N635" s="282">
        <f ca="1">IFERROR(__xludf.DUMMYFUNCTION("IMPORTRANGE(""https://docs.google.com/spreadsheets/d/1kC41EOXpGBFOW658Fs3oD8beYlym0-zO54WY-2Qnp9I/edit?usp=share_link"",""กระบี่!N635"")
+IMPORTRANGE(""https://docs.google.com/spreadsheets/d/1FbzMZY_f3MDiEuK7RpCQKrilJ_kpX0Wm7QBZ1L7EjIU/edit?usp=share_link"&amp;""",""ชุมพร!N635"")+IMPORTRANGE(""https://docs.google.com/spreadsheets/d/1v5sN-00LrXuhBxw4dkh2GrG_z4l5oAqOdJRBCsUyMaM/edit?usp=share_link"",""ตรัง!N635"")+IMPORTRANGE(""https://docs.google.com/spreadsheets/d/1T5rRTzFc79aSIvqnzkZNvwPstq829QYz_xALlO1Z0s8/edi"&amp;"t?usp=share_link"",""นครศรีธรรมราช!N635"")+IMPORTRANGE(""https://docs.google.com/spreadsheets/d/1BeghqumK0IvCmRd2QOy6_afsZq7ZtAGrSnVJy2u7WmY/edit?usp=share_link"",""นราธิวาส!N635"")+IMPORTRANGE(""https://docs.google.com/spreadsheets/d/1IwnW3-jjRf74MCLW-6P"&amp;"iFwMUffRQXZwZA7YM609NmRc/edit?usp=share_link"",""ปัตตานี!N635"")+IMPORTRANGE(""https://docs.google.com/spreadsheets/d/1vl4QWbWdFruual5o_wdo6ZSqXZ_it806oja4CctTLKs/edit?usp=share_link"",""พังงา!N635"")+IMPORTRANGE(""https://docs.google.com/spreadsheets/d/1"&amp;"b6QssHQp2FoAPSMKHOy273KNzAomaIKhtdlvuZ_zDNE/edit?usp=share_link"",""พัทลุง!N635"")+IMPORTRANGE(""https://docs.google.com/spreadsheets/d/1o7UZe4_OqlqtLDHrj01Z2YFRSZDf1DMy1n3XViHaxRc/edit?usp=share_link"",""ภูเก็ต!N635"")+IMPORTRANGE(""https://docs.google.c"&amp;"om/spreadsheets/d/1ctPm1vUzcUCPuOj9-eoHUD85PqINFqUB0TjdSWmR5-c/edit?usp=share_link"",""ยะลา!N635"")+IMPORTRANGE(""https://docs.google.com/spreadsheets/d/1YiDIE7Klmt8osgdapRqYWNr7iPGFSsiJqq46S7PYRE0/edit?usp=share_link"",""ระนอง!N635"")+IMPORTRANGE(""https"&amp;"://docs.google.com/spreadsheets/d/16o_4B-V7AWw_6E93bSpXj_XxVv1oVQctk-B6z1dNEWU/edit?usp=share_link"",""สงขลา!N635"")+IMPORTRANGE(""https://docs.google.com/spreadsheets/d/16cywr71Fj4fA5OGRHsZh30ZG2gwJhMAQv69oVBzYHv0/edit?usp=share_link"",""สตูล!N635"")+IMP"&amp;"ORTRANGE(""https://docs.google.com/spreadsheets/d/1vO9Sws6kMtrVtyvrAJptINXjK8TFBoX9xLYOVK_C8bQ/edit?usp=share_link"",""สุราษฎร์ธานี!N635"")"),88203.6)</f>
        <v>88203.6</v>
      </c>
      <c r="O635" s="37"/>
      <c r="P635" s="37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20.25" customHeight="1">
      <c r="A636" s="573"/>
      <c r="B636" s="574"/>
      <c r="C636" s="575"/>
      <c r="D636" s="575"/>
      <c r="E636" s="575"/>
      <c r="F636" s="576" t="s">
        <v>187</v>
      </c>
      <c r="G636" s="188"/>
      <c r="H636" s="160" t="s">
        <v>12</v>
      </c>
      <c r="I636" s="36"/>
      <c r="J636" s="36"/>
      <c r="K636" s="37"/>
      <c r="L636" s="37"/>
      <c r="M636" s="37"/>
      <c r="N636" s="282">
        <f ca="1">IFERROR(__xludf.DUMMYFUNCTION("IMPORTRANGE(""https://docs.google.com/spreadsheets/d/1kC41EOXpGBFOW658Fs3oD8beYlym0-zO54WY-2Qnp9I/edit?usp=share_link"",""กระบี่!N636"")
+IMPORTRANGE(""https://docs.google.com/spreadsheets/d/1FbzMZY_f3MDiEuK7RpCQKrilJ_kpX0Wm7QBZ1L7EjIU/edit?usp=share_link"&amp;""",""ชุมพร!N636"")+IMPORTRANGE(""https://docs.google.com/spreadsheets/d/1v5sN-00LrXuhBxw4dkh2GrG_z4l5oAqOdJRBCsUyMaM/edit?usp=share_link"",""ตรัง!N636"")+IMPORTRANGE(""https://docs.google.com/spreadsheets/d/1T5rRTzFc79aSIvqnzkZNvwPstq829QYz_xALlO1Z0s8/edi"&amp;"t?usp=share_link"",""นครศรีธรรมราช!N636"")+IMPORTRANGE(""https://docs.google.com/spreadsheets/d/1BeghqumK0IvCmRd2QOy6_afsZq7ZtAGrSnVJy2u7WmY/edit?usp=share_link"",""นราธิวาส!N636"")+IMPORTRANGE(""https://docs.google.com/spreadsheets/d/1IwnW3-jjRf74MCLW-6P"&amp;"iFwMUffRQXZwZA7YM609NmRc/edit?usp=share_link"",""ปัตตานี!N636"")+IMPORTRANGE(""https://docs.google.com/spreadsheets/d/1vl4QWbWdFruual5o_wdo6ZSqXZ_it806oja4CctTLKs/edit?usp=share_link"",""พังงา!N636"")+IMPORTRANGE(""https://docs.google.com/spreadsheets/d/1"&amp;"b6QssHQp2FoAPSMKHOy273KNzAomaIKhtdlvuZ_zDNE/edit?usp=share_link"",""พัทลุง!N636"")+IMPORTRANGE(""https://docs.google.com/spreadsheets/d/1o7UZe4_OqlqtLDHrj01Z2YFRSZDf1DMy1n3XViHaxRc/edit?usp=share_link"",""ภูเก็ต!N636"")+IMPORTRANGE(""https://docs.google.c"&amp;"om/spreadsheets/d/1ctPm1vUzcUCPuOj9-eoHUD85PqINFqUB0TjdSWmR5-c/edit?usp=share_link"",""ยะลา!N636"")+IMPORTRANGE(""https://docs.google.com/spreadsheets/d/1YiDIE7Klmt8osgdapRqYWNr7iPGFSsiJqq46S7PYRE0/edit?usp=share_link"",""ระนอง!N636"")+IMPORTRANGE(""https"&amp;"://docs.google.com/spreadsheets/d/16o_4B-V7AWw_6E93bSpXj_XxVv1oVQctk-B6z1dNEWU/edit?usp=share_link"",""สงขลา!N636"")+IMPORTRANGE(""https://docs.google.com/spreadsheets/d/16cywr71Fj4fA5OGRHsZh30ZG2gwJhMAQv69oVBzYHv0/edit?usp=share_link"",""สตูล!N636"")+IMP"&amp;"ORTRANGE(""https://docs.google.com/spreadsheets/d/1vO9Sws6kMtrVtyvrAJptINXjK8TFBoX9xLYOVK_C8bQ/edit?usp=share_link"",""สุราษฎร์ธานี!N636"")"),0)</f>
        <v>0</v>
      </c>
      <c r="O636" s="37"/>
      <c r="P636" s="37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20.25" customHeight="1">
      <c r="A637" s="573"/>
      <c r="B637" s="574"/>
      <c r="C637" s="575"/>
      <c r="D637" s="575"/>
      <c r="E637" s="575"/>
      <c r="F637" s="576" t="s">
        <v>188</v>
      </c>
      <c r="G637" s="188"/>
      <c r="H637" s="160" t="s">
        <v>12</v>
      </c>
      <c r="I637" s="36"/>
      <c r="J637" s="36"/>
      <c r="K637" s="37"/>
      <c r="L637" s="37"/>
      <c r="M637" s="37"/>
      <c r="N637" s="282">
        <f ca="1">IFERROR(__xludf.DUMMYFUNCTION("IMPORTRANGE(""https://docs.google.com/spreadsheets/d/1kC41EOXpGBFOW658Fs3oD8beYlym0-zO54WY-2Qnp9I/edit?usp=share_link"",""กระบี่!N637"")
+IMPORTRANGE(""https://docs.google.com/spreadsheets/d/1FbzMZY_f3MDiEuK7RpCQKrilJ_kpX0Wm7QBZ1L7EjIU/edit?usp=share_link"&amp;""",""ชุมพร!N637"")+IMPORTRANGE(""https://docs.google.com/spreadsheets/d/1v5sN-00LrXuhBxw4dkh2GrG_z4l5oAqOdJRBCsUyMaM/edit?usp=share_link"",""ตรัง!N637"")+IMPORTRANGE(""https://docs.google.com/spreadsheets/d/1T5rRTzFc79aSIvqnzkZNvwPstq829QYz_xALlO1Z0s8/edi"&amp;"t?usp=share_link"",""นครศรีธรรมราช!N637"")+IMPORTRANGE(""https://docs.google.com/spreadsheets/d/1BeghqumK0IvCmRd2QOy6_afsZq7ZtAGrSnVJy2u7WmY/edit?usp=share_link"",""นราธิวาส!N637"")+IMPORTRANGE(""https://docs.google.com/spreadsheets/d/1IwnW3-jjRf74MCLW-6P"&amp;"iFwMUffRQXZwZA7YM609NmRc/edit?usp=share_link"",""ปัตตานี!N637"")+IMPORTRANGE(""https://docs.google.com/spreadsheets/d/1vl4QWbWdFruual5o_wdo6ZSqXZ_it806oja4CctTLKs/edit?usp=share_link"",""พังงา!N637"")+IMPORTRANGE(""https://docs.google.com/spreadsheets/d/1"&amp;"b6QssHQp2FoAPSMKHOy273KNzAomaIKhtdlvuZ_zDNE/edit?usp=share_link"",""พัทลุง!N637"")+IMPORTRANGE(""https://docs.google.com/spreadsheets/d/1o7UZe4_OqlqtLDHrj01Z2YFRSZDf1DMy1n3XViHaxRc/edit?usp=share_link"",""ภูเก็ต!N637"")+IMPORTRANGE(""https://docs.google.c"&amp;"om/spreadsheets/d/1ctPm1vUzcUCPuOj9-eoHUD85PqINFqUB0TjdSWmR5-c/edit?usp=share_link"",""ยะลา!N637"")+IMPORTRANGE(""https://docs.google.com/spreadsheets/d/1YiDIE7Klmt8osgdapRqYWNr7iPGFSsiJqq46S7PYRE0/edit?usp=share_link"",""ระนอง!N637"")+IMPORTRANGE(""https"&amp;"://docs.google.com/spreadsheets/d/16o_4B-V7AWw_6E93bSpXj_XxVv1oVQctk-B6z1dNEWU/edit?usp=share_link"",""สงขลา!N637"")+IMPORTRANGE(""https://docs.google.com/spreadsheets/d/16cywr71Fj4fA5OGRHsZh30ZG2gwJhMAQv69oVBzYHv0/edit?usp=share_link"",""สตูล!N637"")+IMP"&amp;"ORTRANGE(""https://docs.google.com/spreadsheets/d/1vO9Sws6kMtrVtyvrAJptINXjK8TFBoX9xLYOVK_C8bQ/edit?usp=share_link"",""สุราษฎร์ธานี!N637"")"),302668.57)</f>
        <v>302668.57</v>
      </c>
      <c r="O637" s="37"/>
      <c r="P637" s="37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20.25" customHeight="1">
      <c r="A638" s="573"/>
      <c r="B638" s="574"/>
      <c r="C638" s="575"/>
      <c r="D638" s="575"/>
      <c r="E638" s="575"/>
      <c r="F638" s="576" t="s">
        <v>189</v>
      </c>
      <c r="G638" s="188"/>
      <c r="H638" s="160" t="s">
        <v>12</v>
      </c>
      <c r="I638" s="36"/>
      <c r="J638" s="36"/>
      <c r="K638" s="37"/>
      <c r="L638" s="37"/>
      <c r="M638" s="37"/>
      <c r="N638" s="282">
        <f ca="1">IFERROR(__xludf.DUMMYFUNCTION("IMPORTRANGE(""https://docs.google.com/spreadsheets/d/1kC41EOXpGBFOW658Fs3oD8beYlym0-zO54WY-2Qnp9I/edit?usp=share_link"",""กระบี่!N638"")
+IMPORTRANGE(""https://docs.google.com/spreadsheets/d/1FbzMZY_f3MDiEuK7RpCQKrilJ_kpX0Wm7QBZ1L7EjIU/edit?usp=share_link"&amp;""",""ชุมพร!N638"")+IMPORTRANGE(""https://docs.google.com/spreadsheets/d/1v5sN-00LrXuhBxw4dkh2GrG_z4l5oAqOdJRBCsUyMaM/edit?usp=share_link"",""ตรัง!N638"")+IMPORTRANGE(""https://docs.google.com/spreadsheets/d/1T5rRTzFc79aSIvqnzkZNvwPstq829QYz_xALlO1Z0s8/edi"&amp;"t?usp=share_link"",""นครศรีธรรมราช!N638"")+IMPORTRANGE(""https://docs.google.com/spreadsheets/d/1BeghqumK0IvCmRd2QOy6_afsZq7ZtAGrSnVJy2u7WmY/edit?usp=share_link"",""นราธิวาส!N638"")+IMPORTRANGE(""https://docs.google.com/spreadsheets/d/1IwnW3-jjRf74MCLW-6P"&amp;"iFwMUffRQXZwZA7YM609NmRc/edit?usp=share_link"",""ปัตตานี!N638"")+IMPORTRANGE(""https://docs.google.com/spreadsheets/d/1vl4QWbWdFruual5o_wdo6ZSqXZ_it806oja4CctTLKs/edit?usp=share_link"",""พังงา!N638"")+IMPORTRANGE(""https://docs.google.com/spreadsheets/d/1"&amp;"b6QssHQp2FoAPSMKHOy273KNzAomaIKhtdlvuZ_zDNE/edit?usp=share_link"",""พัทลุง!N638"")+IMPORTRANGE(""https://docs.google.com/spreadsheets/d/1o7UZe4_OqlqtLDHrj01Z2YFRSZDf1DMy1n3XViHaxRc/edit?usp=share_link"",""ภูเก็ต!N638"")+IMPORTRANGE(""https://docs.google.c"&amp;"om/spreadsheets/d/1ctPm1vUzcUCPuOj9-eoHUD85PqINFqUB0TjdSWmR5-c/edit?usp=share_link"",""ยะลา!N638"")+IMPORTRANGE(""https://docs.google.com/spreadsheets/d/1YiDIE7Klmt8osgdapRqYWNr7iPGFSsiJqq46S7PYRE0/edit?usp=share_link"",""ระนอง!N638"")+IMPORTRANGE(""https"&amp;"://docs.google.com/spreadsheets/d/16o_4B-V7AWw_6E93bSpXj_XxVv1oVQctk-B6z1dNEWU/edit?usp=share_link"",""สงขลา!N638"")+IMPORTRANGE(""https://docs.google.com/spreadsheets/d/16cywr71Fj4fA5OGRHsZh30ZG2gwJhMAQv69oVBzYHv0/edit?usp=share_link"",""สตูล!N638"")+IMP"&amp;"ORTRANGE(""https://docs.google.com/spreadsheets/d/1vO9Sws6kMtrVtyvrAJptINXjK8TFBoX9xLYOVK_C8bQ/edit?usp=share_link"",""สุราษฎร์ธานี!N638"")"),682443.4)</f>
        <v>682443.4</v>
      </c>
      <c r="O638" s="37"/>
      <c r="P638" s="37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20.25" customHeight="1">
      <c r="A639" s="596"/>
      <c r="B639" s="574"/>
      <c r="C639" s="575"/>
      <c r="D639" s="605" t="s">
        <v>21</v>
      </c>
      <c r="E639" s="575"/>
      <c r="F639" s="575"/>
      <c r="G639" s="188"/>
      <c r="H639" s="167" t="s">
        <v>12</v>
      </c>
      <c r="I639" s="161"/>
      <c r="J639" s="161"/>
      <c r="K639" s="162"/>
      <c r="L639" s="37">
        <f t="shared" ref="L639:N639" ca="1" si="305">L640+L641</f>
        <v>0</v>
      </c>
      <c r="M639" s="37">
        <f t="shared" si="305"/>
        <v>0</v>
      </c>
      <c r="N639" s="37">
        <f t="shared" si="305"/>
        <v>0</v>
      </c>
      <c r="O639" s="37">
        <f t="shared" ref="O639:O641" ca="1" si="306">IF(L639&gt;0,N639*100/L639,0)</f>
        <v>0</v>
      </c>
      <c r="P639" s="37">
        <f t="shared" ref="P639:P641" si="307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20.25" hidden="1" customHeight="1">
      <c r="A640" s="598"/>
      <c r="B640" s="604"/>
      <c r="C640" s="599"/>
      <c r="D640" s="599"/>
      <c r="E640" s="601" t="s">
        <v>18</v>
      </c>
      <c r="F640" s="599"/>
      <c r="G640" s="602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44">
        <f t="shared" si="306"/>
        <v>0</v>
      </c>
      <c r="P640" s="44">
        <f t="shared" si="307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20.25" hidden="1" customHeight="1">
      <c r="A641" s="598"/>
      <c r="B641" s="604"/>
      <c r="C641" s="599"/>
      <c r="D641" s="599"/>
      <c r="E641" s="601" t="s">
        <v>19</v>
      </c>
      <c r="F641" s="599"/>
      <c r="G641" s="602"/>
      <c r="H641" s="168" t="s">
        <v>12</v>
      </c>
      <c r="I641" s="165"/>
      <c r="J641" s="165"/>
      <c r="K641" s="166"/>
      <c r="L641" s="44">
        <f ca="1">IFERROR(__xludf.DUMMYFUNCTION("IMPORTRANGE(""https://docs.google.com/spreadsheets/d/1kC41EOXpGBFOW658Fs3oD8beYlym0-zO54WY-2Qnp9I/edit?usp=share_link"",""กระบี่!L641"")
+IMPORTRANGE(""https://docs.google.com/spreadsheets/d/1FbzMZY_f3MDiEuK7RpCQKrilJ_kpX0Wm7QBZ1L7EjIU/edit?usp=share_link"&amp;""",""ชุมพร!L641"")+IMPORTRANGE(""https://docs.google.com/spreadsheets/d/1v5sN-00LrXuhBxw4dkh2GrG_z4l5oAqOdJRBCsUyMaM/edit?usp=share_link"",""ตรัง!L641"")+IMPORTRANGE(""https://docs.google.com/spreadsheets/d/1T5rRTzFc79aSIvqnzkZNvwPstq829QYz_xALlO1Z0s8/edi"&amp;"t?usp=share_link"",""นครศรีธรรมราช!L641"")+IMPORTRANGE(""https://docs.google.com/spreadsheets/d/1BeghqumK0IvCmRd2QOy6_afsZq7ZtAGrSnVJy2u7WmY/edit?usp=share_link"",""นราธิวาส!L641"")+IMPORTRANGE(""https://docs.google.com/spreadsheets/d/1IwnW3-jjRf74MCLW-6P"&amp;"iFwMUffRQXZwZA7YM609NmRc/edit?usp=share_link"",""ปัตตานี!L641"")+IMPORTRANGE(""https://docs.google.com/spreadsheets/d/1vl4QWbWdFruual5o_wdo6ZSqXZ_it806oja4CctTLKs/edit?usp=share_link"",""พังงา!L641"")+IMPORTRANGE(""https://docs.google.com/spreadsheets/d/1"&amp;"b6QssHQp2FoAPSMKHOy273KNzAomaIKhtdlvuZ_zDNE/edit?usp=share_link"",""พัทลุง!L641"")+IMPORTRANGE(""https://docs.google.com/spreadsheets/d/1o7UZe4_OqlqtLDHrj01Z2YFRSZDf1DMy1n3XViHaxRc/edit?usp=share_link"",""ภูเก็ต!L641"")+IMPORTRANGE(""https://docs.google.c"&amp;"om/spreadsheets/d/1ctPm1vUzcUCPuOj9-eoHUD85PqINFqUB0TjdSWmR5-c/edit?usp=share_link"",""ยะลา!L641"")+IMPORTRANGE(""https://docs.google.com/spreadsheets/d/1YiDIE7Klmt8osgdapRqYWNr7iPGFSsiJqq46S7PYRE0/edit?usp=share_link"",""ระนอง!L641"")+IMPORTRANGE(""https"&amp;"://docs.google.com/spreadsheets/d/16o_4B-V7AWw_6E93bSpXj_XxVv1oVQctk-B6z1dNEWU/edit?usp=share_link"",""สงขลา!L641"")+IMPORTRANGE(""https://docs.google.com/spreadsheets/d/16cywr71Fj4fA5OGRHsZh30ZG2gwJhMAQv69oVBzYHv0/edit?usp=share_link"",""สตูล!L641"")+IMP"&amp;"ORTRANGE(""https://docs.google.com/spreadsheets/d/1vO9Sws6kMtrVtyvrAJptINXjK8TFBoX9xLYOVK_C8bQ/edit?usp=share_link"",""สุราษฎร์ธานี!L641"")"),0)</f>
        <v>0</v>
      </c>
      <c r="M641" s="92">
        <v>0</v>
      </c>
      <c r="N641" s="92">
        <v>0</v>
      </c>
      <c r="O641" s="44">
        <f t="shared" ca="1" si="306"/>
        <v>0</v>
      </c>
      <c r="P641" s="44">
        <f t="shared" si="307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20.25" customHeight="1">
      <c r="A642" s="607"/>
      <c r="B642" s="608"/>
      <c r="C642" s="575" t="s">
        <v>16</v>
      </c>
      <c r="D642" s="678" t="s">
        <v>38</v>
      </c>
      <c r="E642" s="611"/>
      <c r="F642" s="611"/>
      <c r="G642" s="612"/>
      <c r="H642" s="174"/>
      <c r="I642" s="161"/>
      <c r="J642" s="161"/>
      <c r="K642" s="162"/>
      <c r="L642" s="162"/>
      <c r="M642" s="162"/>
      <c r="N642" s="162"/>
      <c r="O642" s="162"/>
      <c r="P642" s="162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20.25" customHeight="1">
      <c r="A643" s="743"/>
      <c r="B643" s="574"/>
      <c r="C643" s="575"/>
      <c r="D643" s="618"/>
      <c r="E643" s="744" t="s">
        <v>271</v>
      </c>
      <c r="F643" s="618"/>
      <c r="G643" s="174"/>
      <c r="H643" s="448" t="s">
        <v>272</v>
      </c>
      <c r="I643" s="269">
        <f ca="1">IFERROR(__xludf.DUMMYFUNCTION("IMPORTRANGE(""https://docs.google.com/spreadsheets/d/1kC41EOXpGBFOW658Fs3oD8beYlym0-zO54WY-2Qnp9I/edit?usp=share_link"",""กระบี่!I643"")
+IMPORTRANGE(""https://docs.google.com/spreadsheets/d/1FbzMZY_f3MDiEuK7RpCQKrilJ_kpX0Wm7QBZ1L7EjIU/edit?usp=share_link"&amp;""",""ชุมพร!I643"")+IMPORTRANGE(""https://docs.google.com/spreadsheets/d/1v5sN-00LrXuhBxw4dkh2GrG_z4l5oAqOdJRBCsUyMaM/edit?usp=share_link"",""ตรัง!I643"")+IMPORTRANGE(""https://docs.google.com/spreadsheets/d/1T5rRTzFc79aSIvqnzkZNvwPstq829QYz_xALlO1Z0s8/edi"&amp;"t?usp=share_link"",""นครศรีธรรมราช!I643"")+IMPORTRANGE(""https://docs.google.com/spreadsheets/d/1BeghqumK0IvCmRd2QOy6_afsZq7ZtAGrSnVJy2u7WmY/edit?usp=share_link"",""นราธิวาส!I643"")+IMPORTRANGE(""https://docs.google.com/spreadsheets/d/1IwnW3-jjRf74MCLW-6P"&amp;"iFwMUffRQXZwZA7YM609NmRc/edit?usp=share_link"",""ปัตตานี!I643"")+IMPORTRANGE(""https://docs.google.com/spreadsheets/d/1vl4QWbWdFruual5o_wdo6ZSqXZ_it806oja4CctTLKs/edit?usp=share_link"",""พังงา!I643"")+IMPORTRANGE(""https://docs.google.com/spreadsheets/d/1"&amp;"b6QssHQp2FoAPSMKHOy273KNzAomaIKhtdlvuZ_zDNE/edit?usp=share_link"",""พัทลุง!I643"")+IMPORTRANGE(""https://docs.google.com/spreadsheets/d/1o7UZe4_OqlqtLDHrj01Z2YFRSZDf1DMy1n3XViHaxRc/edit?usp=share_link"",""ภูเก็ต!I643"")+IMPORTRANGE(""https://docs.google.c"&amp;"om/spreadsheets/d/1ctPm1vUzcUCPuOj9-eoHUD85PqINFqUB0TjdSWmR5-c/edit?usp=share_link"",""ยะลา!I643"")+IMPORTRANGE(""https://docs.google.com/spreadsheets/d/1YiDIE7Klmt8osgdapRqYWNr7iPGFSsiJqq46S7PYRE0/edit?usp=share_link"",""ระนอง!I643"")+IMPORTRANGE(""https"&amp;"://docs.google.com/spreadsheets/d/16o_4B-V7AWw_6E93bSpXj_XxVv1oVQctk-B6z1dNEWU/edit?usp=share_link"",""สงขลา!I643"")+IMPORTRANGE(""https://docs.google.com/spreadsheets/d/16cywr71Fj4fA5OGRHsZh30ZG2gwJhMAQv69oVBzYHv0/edit?usp=share_link"",""สตูล!I643"")+IMP"&amp;"ORTRANGE(""https://docs.google.com/spreadsheets/d/1vO9Sws6kMtrVtyvrAJptINXjK8TFBoX9xLYOVK_C8bQ/edit?usp=share_link"",""สุราษฎร์ธานี!I643"")"),3)</f>
        <v>3</v>
      </c>
      <c r="J643" s="182">
        <f ca="1">IFERROR(__xludf.DUMMYFUNCTION("IMPORTRANGE(""https://docs.google.com/spreadsheets/d/1kC41EOXpGBFOW658Fs3oD8beYlym0-zO54WY-2Qnp9I/edit?usp=share_link"",""กระบี่!J643"")
+IMPORTRANGE(""https://docs.google.com/spreadsheets/d/1FbzMZY_f3MDiEuK7RpCQKrilJ_kpX0Wm7QBZ1L7EjIU/edit?usp=share_link"&amp;""",""ชุมพร!J643"")+IMPORTRANGE(""https://docs.google.com/spreadsheets/d/1v5sN-00LrXuhBxw4dkh2GrG_z4l5oAqOdJRBCsUyMaM/edit?usp=share_link"",""ตรัง!J643"")+IMPORTRANGE(""https://docs.google.com/spreadsheets/d/1T5rRTzFc79aSIvqnzkZNvwPstq829QYz_xALlO1Z0s8/edi"&amp;"t?usp=share_link"",""นครศรีธรรมราช!J643"")+IMPORTRANGE(""https://docs.google.com/spreadsheets/d/1BeghqumK0IvCmRd2QOy6_afsZq7ZtAGrSnVJy2u7WmY/edit?usp=share_link"",""นราธิวาส!J643"")+IMPORTRANGE(""https://docs.google.com/spreadsheets/d/1IwnW3-jjRf74MCLW-6P"&amp;"iFwMUffRQXZwZA7YM609NmRc/edit?usp=share_link"",""ปัตตานี!J643"")+IMPORTRANGE(""https://docs.google.com/spreadsheets/d/1vl4QWbWdFruual5o_wdo6ZSqXZ_it806oja4CctTLKs/edit?usp=share_link"",""พังงา!J643"")+IMPORTRANGE(""https://docs.google.com/spreadsheets/d/1"&amp;"b6QssHQp2FoAPSMKHOy273KNzAomaIKhtdlvuZ_zDNE/edit?usp=share_link"",""พัทลุง!J643"")+IMPORTRANGE(""https://docs.google.com/spreadsheets/d/1o7UZe4_OqlqtLDHrj01Z2YFRSZDf1DMy1n3XViHaxRc/edit?usp=share_link"",""ภูเก็ต!J643"")+IMPORTRANGE(""https://docs.google.c"&amp;"om/spreadsheets/d/1ctPm1vUzcUCPuOj9-eoHUD85PqINFqUB0TjdSWmR5-c/edit?usp=share_link"",""ยะลา!J643"")+IMPORTRANGE(""https://docs.google.com/spreadsheets/d/1YiDIE7Klmt8osgdapRqYWNr7iPGFSsiJqq46S7PYRE0/edit?usp=share_link"",""ระนอง!J643"")+IMPORTRANGE(""https"&amp;"://docs.google.com/spreadsheets/d/16o_4B-V7AWw_6E93bSpXj_XxVv1oVQctk-B6z1dNEWU/edit?usp=share_link"",""สงขลา!J643"")+IMPORTRANGE(""https://docs.google.com/spreadsheets/d/16cywr71Fj4fA5OGRHsZh30ZG2gwJhMAQv69oVBzYHv0/edit?usp=share_link"",""สตูล!J643"")+IMP"&amp;"ORTRANGE(""https://docs.google.com/spreadsheets/d/1vO9Sws6kMtrVtyvrAJptINXjK8TFBoX9xLYOVK_C8bQ/edit?usp=share_link"",""สุราษฎร์ธานี!J643"")"),3)</f>
        <v>3</v>
      </c>
      <c r="K643" s="162">
        <f t="shared" ref="K643:K652" ca="1" si="308">IF(I643&gt;0,J643*100/I643,0)</f>
        <v>100</v>
      </c>
      <c r="L643" s="162"/>
      <c r="M643" s="162"/>
      <c r="N643" s="37"/>
      <c r="O643" s="162"/>
      <c r="P643" s="162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20.25" customHeight="1">
      <c r="A644" s="743"/>
      <c r="B644" s="574"/>
      <c r="C644" s="575"/>
      <c r="D644" s="618"/>
      <c r="E644" s="744" t="s">
        <v>273</v>
      </c>
      <c r="F644" s="618"/>
      <c r="G644" s="174"/>
      <c r="H644" s="448" t="s">
        <v>274</v>
      </c>
      <c r="I644" s="269">
        <f ca="1">IFERROR(__xludf.DUMMYFUNCTION("IMPORTRANGE(""https://docs.google.com/spreadsheets/d/1kC41EOXpGBFOW658Fs3oD8beYlym0-zO54WY-2Qnp9I/edit?usp=share_link"",""กระบี่!I644"")
+IMPORTRANGE(""https://docs.google.com/spreadsheets/d/1FbzMZY_f3MDiEuK7RpCQKrilJ_kpX0Wm7QBZ1L7EjIU/edit?usp=share_link"&amp;""",""ชุมพร!I644"")+IMPORTRANGE(""https://docs.google.com/spreadsheets/d/1v5sN-00LrXuhBxw4dkh2GrG_z4l5oAqOdJRBCsUyMaM/edit?usp=share_link"",""ตรัง!I644"")+IMPORTRANGE(""https://docs.google.com/spreadsheets/d/1T5rRTzFc79aSIvqnzkZNvwPstq829QYz_xALlO1Z0s8/edi"&amp;"t?usp=share_link"",""นครศรีธรรมราช!I644"")+IMPORTRANGE(""https://docs.google.com/spreadsheets/d/1BeghqumK0IvCmRd2QOy6_afsZq7ZtAGrSnVJy2u7WmY/edit?usp=share_link"",""นราธิวาส!I644"")+IMPORTRANGE(""https://docs.google.com/spreadsheets/d/1IwnW3-jjRf74MCLW-6P"&amp;"iFwMUffRQXZwZA7YM609NmRc/edit?usp=share_link"",""ปัตตานี!I644"")+IMPORTRANGE(""https://docs.google.com/spreadsheets/d/1vl4QWbWdFruual5o_wdo6ZSqXZ_it806oja4CctTLKs/edit?usp=share_link"",""พังงา!I644"")+IMPORTRANGE(""https://docs.google.com/spreadsheets/d/1"&amp;"b6QssHQp2FoAPSMKHOy273KNzAomaIKhtdlvuZ_zDNE/edit?usp=share_link"",""พัทลุง!I644"")+IMPORTRANGE(""https://docs.google.com/spreadsheets/d/1o7UZe4_OqlqtLDHrj01Z2YFRSZDf1DMy1n3XViHaxRc/edit?usp=share_link"",""ภูเก็ต!I644"")+IMPORTRANGE(""https://docs.google.c"&amp;"om/spreadsheets/d/1ctPm1vUzcUCPuOj9-eoHUD85PqINFqUB0TjdSWmR5-c/edit?usp=share_link"",""ยะลา!I644"")+IMPORTRANGE(""https://docs.google.com/spreadsheets/d/1YiDIE7Klmt8osgdapRqYWNr7iPGFSsiJqq46S7PYRE0/edit?usp=share_link"",""ระนอง!I644"")+IMPORTRANGE(""https"&amp;"://docs.google.com/spreadsheets/d/16o_4B-V7AWw_6E93bSpXj_XxVv1oVQctk-B6z1dNEWU/edit?usp=share_link"",""สงขลา!I644"")+IMPORTRANGE(""https://docs.google.com/spreadsheets/d/16cywr71Fj4fA5OGRHsZh30ZG2gwJhMAQv69oVBzYHv0/edit?usp=share_link"",""สตูล!I644"")+IMP"&amp;"ORTRANGE(""https://docs.google.com/spreadsheets/d/1vO9Sws6kMtrVtyvrAJptINXjK8TFBoX9xLYOVK_C8bQ/edit?usp=share_link"",""สุราษฎร์ธานี!I644"")"),3)</f>
        <v>3</v>
      </c>
      <c r="J644" s="182">
        <f ca="1">IFERROR(__xludf.DUMMYFUNCTION("IMPORTRANGE(""https://docs.google.com/spreadsheets/d/1kC41EOXpGBFOW658Fs3oD8beYlym0-zO54WY-2Qnp9I/edit?usp=share_link"",""กระบี่!J644"")
+IMPORTRANGE(""https://docs.google.com/spreadsheets/d/1FbzMZY_f3MDiEuK7RpCQKrilJ_kpX0Wm7QBZ1L7EjIU/edit?usp=share_link"&amp;""",""ชุมพร!J644"")+IMPORTRANGE(""https://docs.google.com/spreadsheets/d/1v5sN-00LrXuhBxw4dkh2GrG_z4l5oAqOdJRBCsUyMaM/edit?usp=share_link"",""ตรัง!J644"")+IMPORTRANGE(""https://docs.google.com/spreadsheets/d/1T5rRTzFc79aSIvqnzkZNvwPstq829QYz_xALlO1Z0s8/edi"&amp;"t?usp=share_link"",""นครศรีธรรมราช!J644"")+IMPORTRANGE(""https://docs.google.com/spreadsheets/d/1BeghqumK0IvCmRd2QOy6_afsZq7ZtAGrSnVJy2u7WmY/edit?usp=share_link"",""นราธิวาส!J644"")+IMPORTRANGE(""https://docs.google.com/spreadsheets/d/1IwnW3-jjRf74MCLW-6P"&amp;"iFwMUffRQXZwZA7YM609NmRc/edit?usp=share_link"",""ปัตตานี!J644"")+IMPORTRANGE(""https://docs.google.com/spreadsheets/d/1vl4QWbWdFruual5o_wdo6ZSqXZ_it806oja4CctTLKs/edit?usp=share_link"",""พังงา!J644"")+IMPORTRANGE(""https://docs.google.com/spreadsheets/d/1"&amp;"b6QssHQp2FoAPSMKHOy273KNzAomaIKhtdlvuZ_zDNE/edit?usp=share_link"",""พัทลุง!J644"")+IMPORTRANGE(""https://docs.google.com/spreadsheets/d/1o7UZe4_OqlqtLDHrj01Z2YFRSZDf1DMy1n3XViHaxRc/edit?usp=share_link"",""ภูเก็ต!J644"")+IMPORTRANGE(""https://docs.google.c"&amp;"om/spreadsheets/d/1ctPm1vUzcUCPuOj9-eoHUD85PqINFqUB0TjdSWmR5-c/edit?usp=share_link"",""ยะลา!J644"")+IMPORTRANGE(""https://docs.google.com/spreadsheets/d/1YiDIE7Klmt8osgdapRqYWNr7iPGFSsiJqq46S7PYRE0/edit?usp=share_link"",""ระนอง!J644"")+IMPORTRANGE(""https"&amp;"://docs.google.com/spreadsheets/d/16o_4B-V7AWw_6E93bSpXj_XxVv1oVQctk-B6z1dNEWU/edit?usp=share_link"",""สงขลา!J644"")+IMPORTRANGE(""https://docs.google.com/spreadsheets/d/16cywr71Fj4fA5OGRHsZh30ZG2gwJhMAQv69oVBzYHv0/edit?usp=share_link"",""สตูล!J644"")+IMP"&amp;"ORTRANGE(""https://docs.google.com/spreadsheets/d/1vO9Sws6kMtrVtyvrAJptINXjK8TFBoX9xLYOVK_C8bQ/edit?usp=share_link"",""สุราษฎร์ธานี!J644"")"),2)</f>
        <v>2</v>
      </c>
      <c r="K644" s="162">
        <f t="shared" ca="1" si="308"/>
        <v>66.666666666666671</v>
      </c>
      <c r="L644" s="162"/>
      <c r="M644" s="162"/>
      <c r="N644" s="37"/>
      <c r="O644" s="162"/>
      <c r="P644" s="162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20.25" customHeight="1">
      <c r="A645" s="743"/>
      <c r="B645" s="574"/>
      <c r="C645" s="575"/>
      <c r="D645" s="618"/>
      <c r="E645" s="745" t="s">
        <v>275</v>
      </c>
      <c r="F645" s="618"/>
      <c r="G645" s="174"/>
      <c r="H645" s="181" t="s">
        <v>34</v>
      </c>
      <c r="I645" s="269">
        <v>0</v>
      </c>
      <c r="J645" s="36">
        <f ca="1">IFERROR(__xludf.DUMMYFUNCTION("IMPORTRANGE(""https://docs.google.com/spreadsheets/d/1kC41EOXpGBFOW658Fs3oD8beYlym0-zO54WY-2Qnp9I/edit?usp=share_link"",""กระบี่!J645"")
+IMPORTRANGE(""https://docs.google.com/spreadsheets/d/1FbzMZY_f3MDiEuK7RpCQKrilJ_kpX0Wm7QBZ1L7EjIU/edit?usp=share_link"&amp;""",""ชุมพร!J645"")+IMPORTRANGE(""https://docs.google.com/spreadsheets/d/1v5sN-00LrXuhBxw4dkh2GrG_z4l5oAqOdJRBCsUyMaM/edit?usp=share_link"",""ตรัง!J645"")+IMPORTRANGE(""https://docs.google.com/spreadsheets/d/1T5rRTzFc79aSIvqnzkZNvwPstq829QYz_xALlO1Z0s8/edi"&amp;"t?usp=share_link"",""นครศรีธรรมราช!J645"")+IMPORTRANGE(""https://docs.google.com/spreadsheets/d/1BeghqumK0IvCmRd2QOy6_afsZq7ZtAGrSnVJy2u7WmY/edit?usp=share_link"",""นราธิวาส!J645"")+IMPORTRANGE(""https://docs.google.com/spreadsheets/d/1IwnW3-jjRf74MCLW-6P"&amp;"iFwMUffRQXZwZA7YM609NmRc/edit?usp=share_link"",""ปัตตานี!J645"")+IMPORTRANGE(""https://docs.google.com/spreadsheets/d/1vl4QWbWdFruual5o_wdo6ZSqXZ_it806oja4CctTLKs/edit?usp=share_link"",""พังงา!J645"")+IMPORTRANGE(""https://docs.google.com/spreadsheets/d/1"&amp;"b6QssHQp2FoAPSMKHOy273KNzAomaIKhtdlvuZ_zDNE/edit?usp=share_link"",""พัทลุง!J645"")+IMPORTRANGE(""https://docs.google.com/spreadsheets/d/1o7UZe4_OqlqtLDHrj01Z2YFRSZDf1DMy1n3XViHaxRc/edit?usp=share_link"",""ภูเก็ต!J645"")+IMPORTRANGE(""https://docs.google.c"&amp;"om/spreadsheets/d/1ctPm1vUzcUCPuOj9-eoHUD85PqINFqUB0TjdSWmR5-c/edit?usp=share_link"",""ยะลา!J645"")+IMPORTRANGE(""https://docs.google.com/spreadsheets/d/1YiDIE7Klmt8osgdapRqYWNr7iPGFSsiJqq46S7PYRE0/edit?usp=share_link"",""ระนอง!J645"")+IMPORTRANGE(""https"&amp;"://docs.google.com/spreadsheets/d/16o_4B-V7AWw_6E93bSpXj_XxVv1oVQctk-B6z1dNEWU/edit?usp=share_link"",""สงขลา!J645"")+IMPORTRANGE(""https://docs.google.com/spreadsheets/d/16cywr71Fj4fA5OGRHsZh30ZG2gwJhMAQv69oVBzYHv0/edit?usp=share_link"",""สตูล!J645"")+IMP"&amp;"ORTRANGE(""https://docs.google.com/spreadsheets/d/1vO9Sws6kMtrVtyvrAJptINXjK8TFBoX9xLYOVK_C8bQ/edit?usp=share_link"",""สุราษฎร์ธานี!J645"")"),146)</f>
        <v>146</v>
      </c>
      <c r="K645" s="162">
        <f t="shared" si="308"/>
        <v>0</v>
      </c>
      <c r="L645" s="162"/>
      <c r="M645" s="162"/>
      <c r="N645" s="37"/>
      <c r="O645" s="162"/>
      <c r="P645" s="162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20.25" customHeight="1">
      <c r="A646" s="743"/>
      <c r="B646" s="574"/>
      <c r="C646" s="575"/>
      <c r="D646" s="618"/>
      <c r="E646" s="618"/>
      <c r="F646" s="618"/>
      <c r="G646" s="174"/>
      <c r="H646" s="181" t="s">
        <v>46</v>
      </c>
      <c r="I646" s="269">
        <v>0</v>
      </c>
      <c r="J646" s="36">
        <f ca="1">IFERROR(__xludf.DUMMYFUNCTION("IMPORTRANGE(""https://docs.google.com/spreadsheets/d/1kC41EOXpGBFOW658Fs3oD8beYlym0-zO54WY-2Qnp9I/edit?usp=share_link"",""กระบี่!J646"")
+IMPORTRANGE(""https://docs.google.com/spreadsheets/d/1FbzMZY_f3MDiEuK7RpCQKrilJ_kpX0Wm7QBZ1L7EjIU/edit?usp=share_link"&amp;""",""ชุมพร!J646"")+IMPORTRANGE(""https://docs.google.com/spreadsheets/d/1v5sN-00LrXuhBxw4dkh2GrG_z4l5oAqOdJRBCsUyMaM/edit?usp=share_link"",""ตรัง!J646"")+IMPORTRANGE(""https://docs.google.com/spreadsheets/d/1T5rRTzFc79aSIvqnzkZNvwPstq829QYz_xALlO1Z0s8/edi"&amp;"t?usp=share_link"",""นครศรีธรรมราช!J646"")+IMPORTRANGE(""https://docs.google.com/spreadsheets/d/1BeghqumK0IvCmRd2QOy6_afsZq7ZtAGrSnVJy2u7WmY/edit?usp=share_link"",""นราธิวาส!J646"")+IMPORTRANGE(""https://docs.google.com/spreadsheets/d/1IwnW3-jjRf74MCLW-6P"&amp;"iFwMUffRQXZwZA7YM609NmRc/edit?usp=share_link"",""ปัตตานี!J646"")+IMPORTRANGE(""https://docs.google.com/spreadsheets/d/1vl4QWbWdFruual5o_wdo6ZSqXZ_it806oja4CctTLKs/edit?usp=share_link"",""พังงา!J646"")+IMPORTRANGE(""https://docs.google.com/spreadsheets/d/1"&amp;"b6QssHQp2FoAPSMKHOy273KNzAomaIKhtdlvuZ_zDNE/edit?usp=share_link"",""พัทลุง!J646"")+IMPORTRANGE(""https://docs.google.com/spreadsheets/d/1o7UZe4_OqlqtLDHrj01Z2YFRSZDf1DMy1n3XViHaxRc/edit?usp=share_link"",""ภูเก็ต!J646"")+IMPORTRANGE(""https://docs.google.c"&amp;"om/spreadsheets/d/1ctPm1vUzcUCPuOj9-eoHUD85PqINFqUB0TjdSWmR5-c/edit?usp=share_link"",""ยะลา!J646"")+IMPORTRANGE(""https://docs.google.com/spreadsheets/d/1YiDIE7Klmt8osgdapRqYWNr7iPGFSsiJqq46S7PYRE0/edit?usp=share_link"",""ระนอง!J646"")+IMPORTRANGE(""https"&amp;"://docs.google.com/spreadsheets/d/16o_4B-V7AWw_6E93bSpXj_XxVv1oVQctk-B6z1dNEWU/edit?usp=share_link"",""สงขลา!J646"")+IMPORTRANGE(""https://docs.google.com/spreadsheets/d/16cywr71Fj4fA5OGRHsZh30ZG2gwJhMAQv69oVBzYHv0/edit?usp=share_link"",""สตูล!J646"")+IMP"&amp;"ORTRANGE(""https://docs.google.com/spreadsheets/d/1vO9Sws6kMtrVtyvrAJptINXjK8TFBoX9xLYOVK_C8bQ/edit?usp=share_link"",""สุราษฎร์ธานี!J646"")"),44.51)</f>
        <v>44.51</v>
      </c>
      <c r="K646" s="37">
        <f t="shared" si="308"/>
        <v>0</v>
      </c>
      <c r="L646" s="162"/>
      <c r="M646" s="162"/>
      <c r="N646" s="37"/>
      <c r="O646" s="162"/>
      <c r="P646" s="162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20.25" customHeight="1">
      <c r="A647" s="743"/>
      <c r="B647" s="574"/>
      <c r="C647" s="575"/>
      <c r="D647" s="618"/>
      <c r="E647" s="262" t="s">
        <v>162</v>
      </c>
      <c r="F647" s="618"/>
      <c r="G647" s="174"/>
      <c r="H647" s="181" t="s">
        <v>35</v>
      </c>
      <c r="I647" s="36">
        <f ca="1">IFERROR(__xludf.DUMMYFUNCTION("IMPORTRANGE(""https://docs.google.com/spreadsheets/d/1kC41EOXpGBFOW658Fs3oD8beYlym0-zO54WY-2Qnp9I/edit?usp=share_link"",""กระบี่!I647"")
+IMPORTRANGE(""https://docs.google.com/spreadsheets/d/1FbzMZY_f3MDiEuK7RpCQKrilJ_kpX0Wm7QBZ1L7EjIU/edit?usp=share_link"&amp;""",""ชุมพร!I647"")+IMPORTRANGE(""https://docs.google.com/spreadsheets/d/1v5sN-00LrXuhBxw4dkh2GrG_z4l5oAqOdJRBCsUyMaM/edit?usp=share_link"",""ตรัง!I647"")+IMPORTRANGE(""https://docs.google.com/spreadsheets/d/1T5rRTzFc79aSIvqnzkZNvwPstq829QYz_xALlO1Z0s8/edi"&amp;"t?usp=share_link"",""นครศรีธรรมราช!I647"")+IMPORTRANGE(""https://docs.google.com/spreadsheets/d/1BeghqumK0IvCmRd2QOy6_afsZq7ZtAGrSnVJy2u7WmY/edit?usp=share_link"",""นราธิวาส!I647"")+IMPORTRANGE(""https://docs.google.com/spreadsheets/d/1IwnW3-jjRf74MCLW-6P"&amp;"iFwMUffRQXZwZA7YM609NmRc/edit?usp=share_link"",""ปัตตานี!I647"")+IMPORTRANGE(""https://docs.google.com/spreadsheets/d/1vl4QWbWdFruual5o_wdo6ZSqXZ_it806oja4CctTLKs/edit?usp=share_link"",""พังงา!I647"")+IMPORTRANGE(""https://docs.google.com/spreadsheets/d/1"&amp;"b6QssHQp2FoAPSMKHOy273KNzAomaIKhtdlvuZ_zDNE/edit?usp=share_link"",""พัทลุง!I647"")+IMPORTRANGE(""https://docs.google.com/spreadsheets/d/1o7UZe4_OqlqtLDHrj01Z2YFRSZDf1DMy1n3XViHaxRc/edit?usp=share_link"",""ภูเก็ต!I647"")+IMPORTRANGE(""https://docs.google.c"&amp;"om/spreadsheets/d/1ctPm1vUzcUCPuOj9-eoHUD85PqINFqUB0TjdSWmR5-c/edit?usp=share_link"",""ยะลา!I647"")+IMPORTRANGE(""https://docs.google.com/spreadsheets/d/1YiDIE7Klmt8osgdapRqYWNr7iPGFSsiJqq46S7PYRE0/edit?usp=share_link"",""ระนอง!I647"")+IMPORTRANGE(""https"&amp;"://docs.google.com/spreadsheets/d/16o_4B-V7AWw_6E93bSpXj_XxVv1oVQctk-B6z1dNEWU/edit?usp=share_link"",""สงขลา!I647"")+IMPORTRANGE(""https://docs.google.com/spreadsheets/d/16cywr71Fj4fA5OGRHsZh30ZG2gwJhMAQv69oVBzYHv0/edit?usp=share_link"",""สตูล!I647"")+IMP"&amp;"ORTRANGE(""https://docs.google.com/spreadsheets/d/1vO9Sws6kMtrVtyvrAJptINXjK8TFBoX9xLYOVK_C8bQ/edit?usp=share_link"",""สุราษฎร์ธานี!I647"")"),243)</f>
        <v>243</v>
      </c>
      <c r="J647" s="36">
        <f ca="1">IFERROR(__xludf.DUMMYFUNCTION("IMPORTRANGE(""https://docs.google.com/spreadsheets/d/1kC41EOXpGBFOW658Fs3oD8beYlym0-zO54WY-2Qnp9I/edit?usp=share_link"",""กระบี่!J647"")
+IMPORTRANGE(""https://docs.google.com/spreadsheets/d/1FbzMZY_f3MDiEuK7RpCQKrilJ_kpX0Wm7QBZ1L7EjIU/edit?usp=share_link"&amp;""",""ชุมพร!J647"")+IMPORTRANGE(""https://docs.google.com/spreadsheets/d/1v5sN-00LrXuhBxw4dkh2GrG_z4l5oAqOdJRBCsUyMaM/edit?usp=share_link"",""ตรัง!J647"")+IMPORTRANGE(""https://docs.google.com/spreadsheets/d/1T5rRTzFc79aSIvqnzkZNvwPstq829QYz_xALlO1Z0s8/edi"&amp;"t?usp=share_link"",""นครศรีธรรมราช!J647"")+IMPORTRANGE(""https://docs.google.com/spreadsheets/d/1BeghqumK0IvCmRd2QOy6_afsZq7ZtAGrSnVJy2u7WmY/edit?usp=share_link"",""นราธิวาส!J647"")+IMPORTRANGE(""https://docs.google.com/spreadsheets/d/1IwnW3-jjRf74MCLW-6P"&amp;"iFwMUffRQXZwZA7YM609NmRc/edit?usp=share_link"",""ปัตตานี!J647"")+IMPORTRANGE(""https://docs.google.com/spreadsheets/d/1vl4QWbWdFruual5o_wdo6ZSqXZ_it806oja4CctTLKs/edit?usp=share_link"",""พังงา!J647"")+IMPORTRANGE(""https://docs.google.com/spreadsheets/d/1"&amp;"b6QssHQp2FoAPSMKHOy273KNzAomaIKhtdlvuZ_zDNE/edit?usp=share_link"",""พัทลุง!J647"")+IMPORTRANGE(""https://docs.google.com/spreadsheets/d/1o7UZe4_OqlqtLDHrj01Z2YFRSZDf1DMy1n3XViHaxRc/edit?usp=share_link"",""ภูเก็ต!J647"")+IMPORTRANGE(""https://docs.google.c"&amp;"om/spreadsheets/d/1ctPm1vUzcUCPuOj9-eoHUD85PqINFqUB0TjdSWmR5-c/edit?usp=share_link"",""ยะลา!J647"")+IMPORTRANGE(""https://docs.google.com/spreadsheets/d/1YiDIE7Klmt8osgdapRqYWNr7iPGFSsiJqq46S7PYRE0/edit?usp=share_link"",""ระนอง!J647"")+IMPORTRANGE(""https"&amp;"://docs.google.com/spreadsheets/d/16o_4B-V7AWw_6E93bSpXj_XxVv1oVQctk-B6z1dNEWU/edit?usp=share_link"",""สงขลา!J647"")+IMPORTRANGE(""https://docs.google.com/spreadsheets/d/16cywr71Fj4fA5OGRHsZh30ZG2gwJhMAQv69oVBzYHv0/edit?usp=share_link"",""สตูล!J647"")+IMP"&amp;"ORTRANGE(""https://docs.google.com/spreadsheets/d/1vO9Sws6kMtrVtyvrAJptINXjK8TFBoX9xLYOVK_C8bQ/edit?usp=share_link"",""สุราษฎร์ธานี!J647"")"),247)</f>
        <v>247</v>
      </c>
      <c r="K647" s="162">
        <f t="shared" ca="1" si="308"/>
        <v>101.64609053497942</v>
      </c>
      <c r="L647" s="162"/>
      <c r="M647" s="162"/>
      <c r="N647" s="162"/>
      <c r="O647" s="162"/>
      <c r="P647" s="162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20.25" customHeight="1">
      <c r="A648" s="743"/>
      <c r="B648" s="574"/>
      <c r="C648" s="575"/>
      <c r="D648" s="618"/>
      <c r="E648" s="618"/>
      <c r="F648" s="618"/>
      <c r="G648" s="174"/>
      <c r="H648" s="181" t="s">
        <v>46</v>
      </c>
      <c r="I648" s="269">
        <v>0</v>
      </c>
      <c r="J648" s="36">
        <f ca="1">IFERROR(__xludf.DUMMYFUNCTION("IMPORTRANGE(""https://docs.google.com/spreadsheets/d/1kC41EOXpGBFOW658Fs3oD8beYlym0-zO54WY-2Qnp9I/edit?usp=share_link"",""กระบี่!J648"")
+IMPORTRANGE(""https://docs.google.com/spreadsheets/d/1FbzMZY_f3MDiEuK7RpCQKrilJ_kpX0Wm7QBZ1L7EjIU/edit?usp=share_link"&amp;""",""ชุมพร!J648"")+IMPORTRANGE(""https://docs.google.com/spreadsheets/d/1v5sN-00LrXuhBxw4dkh2GrG_z4l5oAqOdJRBCsUyMaM/edit?usp=share_link"",""ตรัง!J648"")+IMPORTRANGE(""https://docs.google.com/spreadsheets/d/1T5rRTzFc79aSIvqnzkZNvwPstq829QYz_xALlO1Z0s8/edi"&amp;"t?usp=share_link"",""นครศรีธรรมราช!J648"")+IMPORTRANGE(""https://docs.google.com/spreadsheets/d/1BeghqumK0IvCmRd2QOy6_afsZq7ZtAGrSnVJy2u7WmY/edit?usp=share_link"",""นราธิวาส!J648"")+IMPORTRANGE(""https://docs.google.com/spreadsheets/d/1IwnW3-jjRf74MCLW-6P"&amp;"iFwMUffRQXZwZA7YM609NmRc/edit?usp=share_link"",""ปัตตานี!J648"")+IMPORTRANGE(""https://docs.google.com/spreadsheets/d/1vl4QWbWdFruual5o_wdo6ZSqXZ_it806oja4CctTLKs/edit?usp=share_link"",""พังงา!J648"")+IMPORTRANGE(""https://docs.google.com/spreadsheets/d/1"&amp;"b6QssHQp2FoAPSMKHOy273KNzAomaIKhtdlvuZ_zDNE/edit?usp=share_link"",""พัทลุง!J648"")+IMPORTRANGE(""https://docs.google.com/spreadsheets/d/1o7UZe4_OqlqtLDHrj01Z2YFRSZDf1DMy1n3XViHaxRc/edit?usp=share_link"",""ภูเก็ต!J648"")+IMPORTRANGE(""https://docs.google.c"&amp;"om/spreadsheets/d/1ctPm1vUzcUCPuOj9-eoHUD85PqINFqUB0TjdSWmR5-c/edit?usp=share_link"",""ยะลา!J648"")+IMPORTRANGE(""https://docs.google.com/spreadsheets/d/1YiDIE7Klmt8osgdapRqYWNr7iPGFSsiJqq46S7PYRE0/edit?usp=share_link"",""ระนอง!J648"")+IMPORTRANGE(""https"&amp;"://docs.google.com/spreadsheets/d/16o_4B-V7AWw_6E93bSpXj_XxVv1oVQctk-B6z1dNEWU/edit?usp=share_link"",""สงขลา!J648"")+IMPORTRANGE(""https://docs.google.com/spreadsheets/d/16cywr71Fj4fA5OGRHsZh30ZG2gwJhMAQv69oVBzYHv0/edit?usp=share_link"",""สตูล!J648"")+IMP"&amp;"ORTRANGE(""https://docs.google.com/spreadsheets/d/1vO9Sws6kMtrVtyvrAJptINXjK8TFBoX9xLYOVK_C8bQ/edit?usp=share_link"",""สุราษฎร์ธานี!J648"")"),72.47)</f>
        <v>72.47</v>
      </c>
      <c r="K648" s="37">
        <f t="shared" si="308"/>
        <v>0</v>
      </c>
      <c r="L648" s="162"/>
      <c r="M648" s="162"/>
      <c r="N648" s="162"/>
      <c r="O648" s="162"/>
      <c r="P648" s="162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20.25" customHeight="1">
      <c r="A649" s="743"/>
      <c r="B649" s="574"/>
      <c r="C649" s="575"/>
      <c r="D649" s="618"/>
      <c r="E649" s="262" t="s">
        <v>276</v>
      </c>
      <c r="F649" s="618"/>
      <c r="G649" s="174"/>
      <c r="H649" s="181" t="s">
        <v>35</v>
      </c>
      <c r="I649" s="36">
        <f ca="1">IFERROR(__xludf.DUMMYFUNCTION("IMPORTRANGE(""https://docs.google.com/spreadsheets/d/1kC41EOXpGBFOW658Fs3oD8beYlym0-zO54WY-2Qnp9I/edit?usp=share_link"",""กระบี่!I649"")
+IMPORTRANGE(""https://docs.google.com/spreadsheets/d/1FbzMZY_f3MDiEuK7RpCQKrilJ_kpX0Wm7QBZ1L7EjIU/edit?usp=share_link"&amp;""",""ชุมพร!I649"")+IMPORTRANGE(""https://docs.google.com/spreadsheets/d/1v5sN-00LrXuhBxw4dkh2GrG_z4l5oAqOdJRBCsUyMaM/edit?usp=share_link"",""ตรัง!I649"")+IMPORTRANGE(""https://docs.google.com/spreadsheets/d/1T5rRTzFc79aSIvqnzkZNvwPstq829QYz_xALlO1Z0s8/edi"&amp;"t?usp=share_link"",""นครศรีธรรมราช!I649"")+IMPORTRANGE(""https://docs.google.com/spreadsheets/d/1BeghqumK0IvCmRd2QOy6_afsZq7ZtAGrSnVJy2u7WmY/edit?usp=share_link"",""นราธิวาส!I649"")+IMPORTRANGE(""https://docs.google.com/spreadsheets/d/1IwnW3-jjRf74MCLW-6P"&amp;"iFwMUffRQXZwZA7YM609NmRc/edit?usp=share_link"",""ปัตตานี!I649"")+IMPORTRANGE(""https://docs.google.com/spreadsheets/d/1vl4QWbWdFruual5o_wdo6ZSqXZ_it806oja4CctTLKs/edit?usp=share_link"",""พังงา!I649"")+IMPORTRANGE(""https://docs.google.com/spreadsheets/d/1"&amp;"b6QssHQp2FoAPSMKHOy273KNzAomaIKhtdlvuZ_zDNE/edit?usp=share_link"",""พัทลุง!I649"")+IMPORTRANGE(""https://docs.google.com/spreadsheets/d/1o7UZe4_OqlqtLDHrj01Z2YFRSZDf1DMy1n3XViHaxRc/edit?usp=share_link"",""ภูเก็ต!I649"")+IMPORTRANGE(""https://docs.google.c"&amp;"om/spreadsheets/d/1ctPm1vUzcUCPuOj9-eoHUD85PqINFqUB0TjdSWmR5-c/edit?usp=share_link"",""ยะลา!I649"")+IMPORTRANGE(""https://docs.google.com/spreadsheets/d/1YiDIE7Klmt8osgdapRqYWNr7iPGFSsiJqq46S7PYRE0/edit?usp=share_link"",""ระนอง!I649"")+IMPORTRANGE(""https"&amp;"://docs.google.com/spreadsheets/d/16o_4B-V7AWw_6E93bSpXj_XxVv1oVQctk-B6z1dNEWU/edit?usp=share_link"",""สงขลา!I649"")+IMPORTRANGE(""https://docs.google.com/spreadsheets/d/16cywr71Fj4fA5OGRHsZh30ZG2gwJhMAQv69oVBzYHv0/edit?usp=share_link"",""สตูล!I649"")+IMP"&amp;"ORTRANGE(""https://docs.google.com/spreadsheets/d/1vO9Sws6kMtrVtyvrAJptINXjK8TFBoX9xLYOVK_C8bQ/edit?usp=share_link"",""สุราษฎร์ธานี!I649"")"),243)</f>
        <v>243</v>
      </c>
      <c r="J649" s="36">
        <f ca="1">IFERROR(__xludf.DUMMYFUNCTION("IMPORTRANGE(""https://docs.google.com/spreadsheets/d/1kC41EOXpGBFOW658Fs3oD8beYlym0-zO54WY-2Qnp9I/edit?usp=share_link"",""กระบี่!J649"")
+IMPORTRANGE(""https://docs.google.com/spreadsheets/d/1FbzMZY_f3MDiEuK7RpCQKrilJ_kpX0Wm7QBZ1L7EjIU/edit?usp=share_link"&amp;""",""ชุมพร!J649"")+IMPORTRANGE(""https://docs.google.com/spreadsheets/d/1v5sN-00LrXuhBxw4dkh2GrG_z4l5oAqOdJRBCsUyMaM/edit?usp=share_link"",""ตรัง!J649"")+IMPORTRANGE(""https://docs.google.com/spreadsheets/d/1T5rRTzFc79aSIvqnzkZNvwPstq829QYz_xALlO1Z0s8/edi"&amp;"t?usp=share_link"",""นครศรีธรรมราช!J649"")+IMPORTRANGE(""https://docs.google.com/spreadsheets/d/1BeghqumK0IvCmRd2QOy6_afsZq7ZtAGrSnVJy2u7WmY/edit?usp=share_link"",""นราธิวาส!J649"")+IMPORTRANGE(""https://docs.google.com/spreadsheets/d/1IwnW3-jjRf74MCLW-6P"&amp;"iFwMUffRQXZwZA7YM609NmRc/edit?usp=share_link"",""ปัตตานี!J649"")+IMPORTRANGE(""https://docs.google.com/spreadsheets/d/1vl4QWbWdFruual5o_wdo6ZSqXZ_it806oja4CctTLKs/edit?usp=share_link"",""พังงา!J649"")+IMPORTRANGE(""https://docs.google.com/spreadsheets/d/1"&amp;"b6QssHQp2FoAPSMKHOy273KNzAomaIKhtdlvuZ_zDNE/edit?usp=share_link"",""พัทลุง!J649"")+IMPORTRANGE(""https://docs.google.com/spreadsheets/d/1o7UZe4_OqlqtLDHrj01Z2YFRSZDf1DMy1n3XViHaxRc/edit?usp=share_link"",""ภูเก็ต!J649"")+IMPORTRANGE(""https://docs.google.c"&amp;"om/spreadsheets/d/1ctPm1vUzcUCPuOj9-eoHUD85PqINFqUB0TjdSWmR5-c/edit?usp=share_link"",""ยะลา!J649"")+IMPORTRANGE(""https://docs.google.com/spreadsheets/d/1YiDIE7Klmt8osgdapRqYWNr7iPGFSsiJqq46S7PYRE0/edit?usp=share_link"",""ระนอง!J649"")+IMPORTRANGE(""https"&amp;"://docs.google.com/spreadsheets/d/16o_4B-V7AWw_6E93bSpXj_XxVv1oVQctk-B6z1dNEWU/edit?usp=share_link"",""สงขลา!J649"")+IMPORTRANGE(""https://docs.google.com/spreadsheets/d/16cywr71Fj4fA5OGRHsZh30ZG2gwJhMAQv69oVBzYHv0/edit?usp=share_link"",""สตูล!J649"")+IMP"&amp;"ORTRANGE(""https://docs.google.com/spreadsheets/d/1vO9Sws6kMtrVtyvrAJptINXjK8TFBoX9xLYOVK_C8bQ/edit?usp=share_link"",""สุราษฎร์ธานี!J649"")"),245)</f>
        <v>245</v>
      </c>
      <c r="K649" s="162">
        <f t="shared" ca="1" si="308"/>
        <v>100.82304526748972</v>
      </c>
      <c r="L649" s="162"/>
      <c r="M649" s="162"/>
      <c r="N649" s="162"/>
      <c r="O649" s="162"/>
      <c r="P649" s="162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20.25" customHeight="1">
      <c r="A650" s="743"/>
      <c r="B650" s="574"/>
      <c r="C650" s="575"/>
      <c r="D650" s="618"/>
      <c r="E650" s="618"/>
      <c r="F650" s="618"/>
      <c r="G650" s="174"/>
      <c r="H650" s="181" t="s">
        <v>46</v>
      </c>
      <c r="I650" s="269">
        <v>0</v>
      </c>
      <c r="J650" s="36">
        <f ca="1">IFERROR(__xludf.DUMMYFUNCTION("IMPORTRANGE(""https://docs.google.com/spreadsheets/d/1kC41EOXpGBFOW658Fs3oD8beYlym0-zO54WY-2Qnp9I/edit?usp=share_link"",""กระบี่!J650"")
+IMPORTRANGE(""https://docs.google.com/spreadsheets/d/1FbzMZY_f3MDiEuK7RpCQKrilJ_kpX0Wm7QBZ1L7EjIU/edit?usp=share_link"&amp;""",""ชุมพร!J650"")+IMPORTRANGE(""https://docs.google.com/spreadsheets/d/1v5sN-00LrXuhBxw4dkh2GrG_z4l5oAqOdJRBCsUyMaM/edit?usp=share_link"",""ตรัง!J650"")+IMPORTRANGE(""https://docs.google.com/spreadsheets/d/1T5rRTzFc79aSIvqnzkZNvwPstq829QYz_xALlO1Z0s8/edi"&amp;"t?usp=share_link"",""นครศรีธรรมราช!J650"")+IMPORTRANGE(""https://docs.google.com/spreadsheets/d/1BeghqumK0IvCmRd2QOy6_afsZq7ZtAGrSnVJy2u7WmY/edit?usp=share_link"",""นราธิวาส!J650"")+IMPORTRANGE(""https://docs.google.com/spreadsheets/d/1IwnW3-jjRf74MCLW-6P"&amp;"iFwMUffRQXZwZA7YM609NmRc/edit?usp=share_link"",""ปัตตานี!J650"")+IMPORTRANGE(""https://docs.google.com/spreadsheets/d/1vl4QWbWdFruual5o_wdo6ZSqXZ_it806oja4CctTLKs/edit?usp=share_link"",""พังงา!J650"")+IMPORTRANGE(""https://docs.google.com/spreadsheets/d/1"&amp;"b6QssHQp2FoAPSMKHOy273KNzAomaIKhtdlvuZ_zDNE/edit?usp=share_link"",""พัทลุง!J650"")+IMPORTRANGE(""https://docs.google.com/spreadsheets/d/1o7UZe4_OqlqtLDHrj01Z2YFRSZDf1DMy1n3XViHaxRc/edit?usp=share_link"",""ภูเก็ต!J650"")+IMPORTRANGE(""https://docs.google.c"&amp;"om/spreadsheets/d/1ctPm1vUzcUCPuOj9-eoHUD85PqINFqUB0TjdSWmR5-c/edit?usp=share_link"",""ยะลา!J650"")+IMPORTRANGE(""https://docs.google.com/spreadsheets/d/1YiDIE7Klmt8osgdapRqYWNr7iPGFSsiJqq46S7PYRE0/edit?usp=share_link"",""ระนอง!J650"")+IMPORTRANGE(""https"&amp;"://docs.google.com/spreadsheets/d/16o_4B-V7AWw_6E93bSpXj_XxVv1oVQctk-B6z1dNEWU/edit?usp=share_link"",""สงขลา!J650"")+IMPORTRANGE(""https://docs.google.com/spreadsheets/d/16cywr71Fj4fA5OGRHsZh30ZG2gwJhMAQv69oVBzYHv0/edit?usp=share_link"",""สตูล!J650"")+IMP"&amp;"ORTRANGE(""https://docs.google.com/spreadsheets/d/1vO9Sws6kMtrVtyvrAJptINXjK8TFBoX9xLYOVK_C8bQ/edit?usp=share_link"",""สุราษฎร์ธานี!J650"")"),70.27)</f>
        <v>70.27</v>
      </c>
      <c r="K650" s="37">
        <f t="shared" si="308"/>
        <v>0</v>
      </c>
      <c r="L650" s="162"/>
      <c r="M650" s="162"/>
      <c r="N650" s="162"/>
      <c r="O650" s="162"/>
      <c r="P650" s="162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20.25" customHeight="1">
      <c r="A651" s="743"/>
      <c r="B651" s="574"/>
      <c r="C651" s="575"/>
      <c r="D651" s="618"/>
      <c r="E651" s="262" t="s">
        <v>277</v>
      </c>
      <c r="F651" s="618"/>
      <c r="G651" s="174"/>
      <c r="H651" s="181" t="s">
        <v>35</v>
      </c>
      <c r="I651" s="36">
        <f ca="1">IFERROR(__xludf.DUMMYFUNCTION("IMPORTRANGE(""https://docs.google.com/spreadsheets/d/1kC41EOXpGBFOW658Fs3oD8beYlym0-zO54WY-2Qnp9I/edit?usp=share_link"",""กระบี่!I651"")
+IMPORTRANGE(""https://docs.google.com/spreadsheets/d/1FbzMZY_f3MDiEuK7RpCQKrilJ_kpX0Wm7QBZ1L7EjIU/edit?usp=share_link"&amp;""",""ชุมพร!I651"")+IMPORTRANGE(""https://docs.google.com/spreadsheets/d/1v5sN-00LrXuhBxw4dkh2GrG_z4l5oAqOdJRBCsUyMaM/edit?usp=share_link"",""ตรัง!I651"")+IMPORTRANGE(""https://docs.google.com/spreadsheets/d/1T5rRTzFc79aSIvqnzkZNvwPstq829QYz_xALlO1Z0s8/edi"&amp;"t?usp=share_link"",""นครศรีธรรมราช!I651"")+IMPORTRANGE(""https://docs.google.com/spreadsheets/d/1BeghqumK0IvCmRd2QOy6_afsZq7ZtAGrSnVJy2u7WmY/edit?usp=share_link"",""นราธิวาส!I651"")+IMPORTRANGE(""https://docs.google.com/spreadsheets/d/1IwnW3-jjRf74MCLW-6P"&amp;"iFwMUffRQXZwZA7YM609NmRc/edit?usp=share_link"",""ปัตตานี!I651"")+IMPORTRANGE(""https://docs.google.com/spreadsheets/d/1vl4QWbWdFruual5o_wdo6ZSqXZ_it806oja4CctTLKs/edit?usp=share_link"",""พังงา!I651"")+IMPORTRANGE(""https://docs.google.com/spreadsheets/d/1"&amp;"b6QssHQp2FoAPSMKHOy273KNzAomaIKhtdlvuZ_zDNE/edit?usp=share_link"",""พัทลุง!I651"")+IMPORTRANGE(""https://docs.google.com/spreadsheets/d/1o7UZe4_OqlqtLDHrj01Z2YFRSZDf1DMy1n3XViHaxRc/edit?usp=share_link"",""ภูเก็ต!I651"")+IMPORTRANGE(""https://docs.google.c"&amp;"om/spreadsheets/d/1ctPm1vUzcUCPuOj9-eoHUD85PqINFqUB0TjdSWmR5-c/edit?usp=share_link"",""ยะลา!I651"")+IMPORTRANGE(""https://docs.google.com/spreadsheets/d/1YiDIE7Klmt8osgdapRqYWNr7iPGFSsiJqq46S7PYRE0/edit?usp=share_link"",""ระนอง!I651"")+IMPORTRANGE(""https"&amp;"://docs.google.com/spreadsheets/d/16o_4B-V7AWw_6E93bSpXj_XxVv1oVQctk-B6z1dNEWU/edit?usp=share_link"",""สงขลา!I651"")+IMPORTRANGE(""https://docs.google.com/spreadsheets/d/16cywr71Fj4fA5OGRHsZh30ZG2gwJhMAQv69oVBzYHv0/edit?usp=share_link"",""สตูล!I651"")+IMP"&amp;"ORTRANGE(""https://docs.google.com/spreadsheets/d/1vO9Sws6kMtrVtyvrAJptINXjK8TFBoX9xLYOVK_C8bQ/edit?usp=share_link"",""สุราษฎร์ธานี!I651"")"),243)</f>
        <v>243</v>
      </c>
      <c r="J651" s="36">
        <f ca="1">IFERROR(__xludf.DUMMYFUNCTION("IMPORTRANGE(""https://docs.google.com/spreadsheets/d/1kC41EOXpGBFOW658Fs3oD8beYlym0-zO54WY-2Qnp9I/edit?usp=share_link"",""กระบี่!J651"")
+IMPORTRANGE(""https://docs.google.com/spreadsheets/d/1FbzMZY_f3MDiEuK7RpCQKrilJ_kpX0Wm7QBZ1L7EjIU/edit?usp=share_link"&amp;""",""ชุมพร!J651"")+IMPORTRANGE(""https://docs.google.com/spreadsheets/d/1v5sN-00LrXuhBxw4dkh2GrG_z4l5oAqOdJRBCsUyMaM/edit?usp=share_link"",""ตรัง!J651"")+IMPORTRANGE(""https://docs.google.com/spreadsheets/d/1T5rRTzFc79aSIvqnzkZNvwPstq829QYz_xALlO1Z0s8/edi"&amp;"t?usp=share_link"",""นครศรีธรรมราช!J651"")+IMPORTRANGE(""https://docs.google.com/spreadsheets/d/1BeghqumK0IvCmRd2QOy6_afsZq7ZtAGrSnVJy2u7WmY/edit?usp=share_link"",""นราธิวาส!J651"")+IMPORTRANGE(""https://docs.google.com/spreadsheets/d/1IwnW3-jjRf74MCLW-6P"&amp;"iFwMUffRQXZwZA7YM609NmRc/edit?usp=share_link"",""ปัตตานี!J651"")+IMPORTRANGE(""https://docs.google.com/spreadsheets/d/1vl4QWbWdFruual5o_wdo6ZSqXZ_it806oja4CctTLKs/edit?usp=share_link"",""พังงา!J651"")+IMPORTRANGE(""https://docs.google.com/spreadsheets/d/1"&amp;"b6QssHQp2FoAPSMKHOy273KNzAomaIKhtdlvuZ_zDNE/edit?usp=share_link"",""พัทลุง!J651"")+IMPORTRANGE(""https://docs.google.com/spreadsheets/d/1o7UZe4_OqlqtLDHrj01Z2YFRSZDf1DMy1n3XViHaxRc/edit?usp=share_link"",""ภูเก็ต!J651"")+IMPORTRANGE(""https://docs.google.c"&amp;"om/spreadsheets/d/1ctPm1vUzcUCPuOj9-eoHUD85PqINFqUB0TjdSWmR5-c/edit?usp=share_link"",""ยะลา!J651"")+IMPORTRANGE(""https://docs.google.com/spreadsheets/d/1YiDIE7Klmt8osgdapRqYWNr7iPGFSsiJqq46S7PYRE0/edit?usp=share_link"",""ระนอง!J651"")+IMPORTRANGE(""https"&amp;"://docs.google.com/spreadsheets/d/16o_4B-V7AWw_6E93bSpXj_XxVv1oVQctk-B6z1dNEWU/edit?usp=share_link"",""สงขลา!J651"")+IMPORTRANGE(""https://docs.google.com/spreadsheets/d/16cywr71Fj4fA5OGRHsZh30ZG2gwJhMAQv69oVBzYHv0/edit?usp=share_link"",""สตูล!J651"")+IMP"&amp;"ORTRANGE(""https://docs.google.com/spreadsheets/d/1vO9Sws6kMtrVtyvrAJptINXjK8TFBoX9xLYOVK_C8bQ/edit?usp=share_link"",""สุราษฎร์ธานี!J651"")"),245)</f>
        <v>245</v>
      </c>
      <c r="K651" s="162">
        <f t="shared" ca="1" si="308"/>
        <v>100.82304526748972</v>
      </c>
      <c r="L651" s="162"/>
      <c r="M651" s="162"/>
      <c r="N651" s="162"/>
      <c r="O651" s="162"/>
      <c r="P651" s="162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20.25" customHeight="1">
      <c r="A652" s="746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7"/>
      <c r="C652" s="748"/>
      <c r="D652" s="733"/>
      <c r="E652" s="733"/>
      <c r="F652" s="733"/>
      <c r="G652" s="734"/>
      <c r="H652" s="504" t="s">
        <v>46</v>
      </c>
      <c r="I652" s="382">
        <v>0</v>
      </c>
      <c r="J652" s="505">
        <f ca="1">IFERROR(__xludf.DUMMYFUNCTION("IMPORTRANGE(""https://docs.google.com/spreadsheets/d/1kC41EOXpGBFOW658Fs3oD8beYlym0-zO54WY-2Qnp9I/edit?usp=share_link"",""กระบี่!J652"")
+IMPORTRANGE(""https://docs.google.com/spreadsheets/d/1FbzMZY_f3MDiEuK7RpCQKrilJ_kpX0Wm7QBZ1L7EjIU/edit?usp=share_link"&amp;""",""ชุมพร!J652"")+IMPORTRANGE(""https://docs.google.com/spreadsheets/d/1v5sN-00LrXuhBxw4dkh2GrG_z4l5oAqOdJRBCsUyMaM/edit?usp=share_link"",""ตรัง!J652"")+IMPORTRANGE(""https://docs.google.com/spreadsheets/d/1T5rRTzFc79aSIvqnzkZNvwPstq829QYz_xALlO1Z0s8/edi"&amp;"t?usp=share_link"",""นครศรีธรรมราช!J652"")+IMPORTRANGE(""https://docs.google.com/spreadsheets/d/1BeghqumK0IvCmRd2QOy6_afsZq7ZtAGrSnVJy2u7WmY/edit?usp=share_link"",""นราธิวาส!J652"")+IMPORTRANGE(""https://docs.google.com/spreadsheets/d/1IwnW3-jjRf74MCLW-6P"&amp;"iFwMUffRQXZwZA7YM609NmRc/edit?usp=share_link"",""ปัตตานี!J652"")+IMPORTRANGE(""https://docs.google.com/spreadsheets/d/1vl4QWbWdFruual5o_wdo6ZSqXZ_it806oja4CctTLKs/edit?usp=share_link"",""พังงา!J652"")+IMPORTRANGE(""https://docs.google.com/spreadsheets/d/1"&amp;"b6QssHQp2FoAPSMKHOy273KNzAomaIKhtdlvuZ_zDNE/edit?usp=share_link"",""พัทลุง!J652"")+IMPORTRANGE(""https://docs.google.com/spreadsheets/d/1o7UZe4_OqlqtLDHrj01Z2YFRSZDf1DMy1n3XViHaxRc/edit?usp=share_link"",""ภูเก็ต!J652"")+IMPORTRANGE(""https://docs.google.c"&amp;"om/spreadsheets/d/1ctPm1vUzcUCPuOj9-eoHUD85PqINFqUB0TjdSWmR5-c/edit?usp=share_link"",""ยะลา!J652"")+IMPORTRANGE(""https://docs.google.com/spreadsheets/d/1YiDIE7Klmt8osgdapRqYWNr7iPGFSsiJqq46S7PYRE0/edit?usp=share_link"",""ระนอง!J652"")+IMPORTRANGE(""https"&amp;"://docs.google.com/spreadsheets/d/16o_4B-V7AWw_6E93bSpXj_XxVv1oVQctk-B6z1dNEWU/edit?usp=share_link"",""สงขลา!J652"")+IMPORTRANGE(""https://docs.google.com/spreadsheets/d/16cywr71Fj4fA5OGRHsZh30ZG2gwJhMAQv69oVBzYHv0/edit?usp=share_link"",""สตูล!J652"")+IMP"&amp;"ORTRANGE(""https://docs.google.com/spreadsheets/d/1vO9Sws6kMtrVtyvrAJptINXjK8TFBoX9xLYOVK_C8bQ/edit?usp=share_link"",""สุราษฎร์ธานี!J652"")"),71.6475)</f>
        <v>71.647499999999994</v>
      </c>
      <c r="K652" s="506">
        <f t="shared" si="308"/>
        <v>0</v>
      </c>
      <c r="L652" s="384"/>
      <c r="M652" s="384"/>
      <c r="N652" s="384"/>
      <c r="O652" s="384"/>
      <c r="P652" s="384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20.25" customHeight="1">
      <c r="A653" s="749">
        <v>8</v>
      </c>
      <c r="B653" s="736" t="s">
        <v>278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20.25" customHeight="1">
      <c r="A654" s="672"/>
      <c r="B654" s="671" t="s">
        <v>279</v>
      </c>
      <c r="C654" s="672"/>
      <c r="D654" s="672"/>
      <c r="E654" s="672"/>
      <c r="F654" s="672"/>
      <c r="G654" s="673"/>
      <c r="H654" s="706" t="s">
        <v>46</v>
      </c>
      <c r="I654" s="675">
        <f t="shared" ref="I654:J654" ca="1" si="309">I669</f>
        <v>250</v>
      </c>
      <c r="J654" s="675">
        <f t="shared" ca="1" si="309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20.25" customHeight="1">
      <c r="A655" s="596"/>
      <c r="B655" s="575"/>
      <c r="C655" s="575" t="s">
        <v>16</v>
      </c>
      <c r="D655" s="887" t="s">
        <v>17</v>
      </c>
      <c r="E655" s="888"/>
      <c r="F655" s="888"/>
      <c r="G655" s="188"/>
      <c r="H655" s="597" t="s">
        <v>12</v>
      </c>
      <c r="I655" s="36"/>
      <c r="J655" s="36"/>
      <c r="K655" s="37"/>
      <c r="L655" s="194">
        <f t="shared" ref="L655:N655" ca="1" si="310">L656+L657</f>
        <v>55000</v>
      </c>
      <c r="M655" s="194">
        <f t="shared" ca="1" si="310"/>
        <v>41397.4</v>
      </c>
      <c r="N655" s="194">
        <f t="shared" ca="1" si="310"/>
        <v>41397.4</v>
      </c>
      <c r="O655" s="194">
        <f t="shared" ref="O655:O660" ca="1" si="311">IF(L655&gt;0,N655*100/L655,0)</f>
        <v>75.268000000000001</v>
      </c>
      <c r="P655" s="194">
        <f t="shared" ref="P655:P660" ca="1" si="312">IF(M655&gt;0,N655*100/M655,0)</f>
        <v>100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20.25" hidden="1" customHeight="1">
      <c r="A656" s="598"/>
      <c r="B656" s="599"/>
      <c r="C656" s="599"/>
      <c r="D656" s="600"/>
      <c r="E656" s="601" t="s">
        <v>184</v>
      </c>
      <c r="F656" s="599"/>
      <c r="G656" s="602"/>
      <c r="H656" s="164" t="s">
        <v>12</v>
      </c>
      <c r="I656" s="43"/>
      <c r="J656" s="43"/>
      <c r="K656" s="44"/>
      <c r="L656" s="44">
        <f t="shared" ref="L656:N656" si="313">L659+L666</f>
        <v>0</v>
      </c>
      <c r="M656" s="44">
        <f t="shared" si="313"/>
        <v>0</v>
      </c>
      <c r="N656" s="44">
        <f t="shared" si="313"/>
        <v>0</v>
      </c>
      <c r="O656" s="44">
        <f t="shared" si="311"/>
        <v>0</v>
      </c>
      <c r="P656" s="44">
        <f t="shared" si="312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20.25" hidden="1" customHeight="1">
      <c r="A657" s="598"/>
      <c r="B657" s="604"/>
      <c r="C657" s="599"/>
      <c r="D657" s="600"/>
      <c r="E657" s="601" t="s">
        <v>185</v>
      </c>
      <c r="F657" s="599"/>
      <c r="G657" s="602"/>
      <c r="H657" s="164" t="s">
        <v>12</v>
      </c>
      <c r="I657" s="43"/>
      <c r="J657" s="43"/>
      <c r="K657" s="44"/>
      <c r="L657" s="44">
        <f t="shared" ref="L657:N657" ca="1" si="314">L660+L667</f>
        <v>55000</v>
      </c>
      <c r="M657" s="44">
        <f t="shared" ca="1" si="314"/>
        <v>41397.4</v>
      </c>
      <c r="N657" s="44">
        <f t="shared" ca="1" si="314"/>
        <v>41397.4</v>
      </c>
      <c r="O657" s="44">
        <f t="shared" ca="1" si="311"/>
        <v>75.268000000000001</v>
      </c>
      <c r="P657" s="44">
        <f t="shared" ca="1" si="312"/>
        <v>100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20.25" customHeight="1">
      <c r="A658" s="596"/>
      <c r="B658" s="574"/>
      <c r="C658" s="575"/>
      <c r="D658" s="605" t="s">
        <v>20</v>
      </c>
      <c r="E658" s="575"/>
      <c r="F658" s="575"/>
      <c r="G658" s="188"/>
      <c r="H658" s="160" t="s">
        <v>12</v>
      </c>
      <c r="I658" s="161"/>
      <c r="J658" s="161"/>
      <c r="K658" s="162"/>
      <c r="L658" s="37">
        <f t="shared" ref="L658:N658" ca="1" si="315">L659+L660</f>
        <v>55000</v>
      </c>
      <c r="M658" s="37">
        <f t="shared" ca="1" si="315"/>
        <v>41397.4</v>
      </c>
      <c r="N658" s="37">
        <f t="shared" ca="1" si="315"/>
        <v>41397.4</v>
      </c>
      <c r="O658" s="37">
        <f t="shared" ca="1" si="311"/>
        <v>75.268000000000001</v>
      </c>
      <c r="P658" s="37">
        <f t="shared" ca="1" si="312"/>
        <v>100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20.25" hidden="1" customHeight="1">
      <c r="A659" s="598"/>
      <c r="B659" s="604"/>
      <c r="C659" s="599"/>
      <c r="D659" s="600"/>
      <c r="E659" s="601" t="s">
        <v>184</v>
      </c>
      <c r="F659" s="599"/>
      <c r="G659" s="602"/>
      <c r="H659" s="164" t="s">
        <v>12</v>
      </c>
      <c r="I659" s="43"/>
      <c r="J659" s="43"/>
      <c r="K659" s="44"/>
      <c r="L659" s="92">
        <v>0</v>
      </c>
      <c r="M659" s="92">
        <v>0</v>
      </c>
      <c r="N659" s="92">
        <v>0</v>
      </c>
      <c r="O659" s="44">
        <f t="shared" si="311"/>
        <v>0</v>
      </c>
      <c r="P659" s="44">
        <f t="shared" si="312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20.25" hidden="1" customHeight="1">
      <c r="A660" s="598"/>
      <c r="B660" s="604"/>
      <c r="C660" s="599"/>
      <c r="D660" s="600"/>
      <c r="E660" s="601" t="s">
        <v>185</v>
      </c>
      <c r="F660" s="599"/>
      <c r="G660" s="602"/>
      <c r="H660" s="164" t="s">
        <v>12</v>
      </c>
      <c r="I660" s="43"/>
      <c r="J660" s="43"/>
      <c r="K660" s="44"/>
      <c r="L660" s="44">
        <f ca="1">IFERROR(__xludf.DUMMYFUNCTION("IMPORTRANGE(""https://docs.google.com/spreadsheets/d/1kC41EOXpGBFOW658Fs3oD8beYlym0-zO54WY-2Qnp9I/edit?usp=share_link"",""กระบี่!L660"")
+IMPORTRANGE(""https://docs.google.com/spreadsheets/d/1FbzMZY_f3MDiEuK7RpCQKrilJ_kpX0Wm7QBZ1L7EjIU/edit?usp=share_link"&amp;""",""ชุมพร!L660"")+IMPORTRANGE(""https://docs.google.com/spreadsheets/d/1v5sN-00LrXuhBxw4dkh2GrG_z4l5oAqOdJRBCsUyMaM/edit?usp=share_link"",""ตรัง!L660"")+IMPORTRANGE(""https://docs.google.com/spreadsheets/d/1T5rRTzFc79aSIvqnzkZNvwPstq829QYz_xALlO1Z0s8/edi"&amp;"t?usp=share_link"",""นครศรีธรรมราช!L660"")+IMPORTRANGE(""https://docs.google.com/spreadsheets/d/1BeghqumK0IvCmRd2QOy6_afsZq7ZtAGrSnVJy2u7WmY/edit?usp=share_link"",""นราธิวาส!L660"")+IMPORTRANGE(""https://docs.google.com/spreadsheets/d/1IwnW3-jjRf74MCLW-6P"&amp;"iFwMUffRQXZwZA7YM609NmRc/edit?usp=share_link"",""ปัตตานี!L660"")+IMPORTRANGE(""https://docs.google.com/spreadsheets/d/1vl4QWbWdFruual5o_wdo6ZSqXZ_it806oja4CctTLKs/edit?usp=share_link"",""พังงา!L660"")+IMPORTRANGE(""https://docs.google.com/spreadsheets/d/1"&amp;"b6QssHQp2FoAPSMKHOy273KNzAomaIKhtdlvuZ_zDNE/edit?usp=share_link"",""พัทลุง!L660"")+IMPORTRANGE(""https://docs.google.com/spreadsheets/d/1o7UZe4_OqlqtLDHrj01Z2YFRSZDf1DMy1n3XViHaxRc/edit?usp=share_link"",""ภูเก็ต!L660"")+IMPORTRANGE(""https://docs.google.c"&amp;"om/spreadsheets/d/1ctPm1vUzcUCPuOj9-eoHUD85PqINFqUB0TjdSWmR5-c/edit?usp=share_link"",""ยะลา!L660"")+IMPORTRANGE(""https://docs.google.com/spreadsheets/d/1YiDIE7Klmt8osgdapRqYWNr7iPGFSsiJqq46S7PYRE0/edit?usp=share_link"",""ระนอง!L660"")+IMPORTRANGE(""https"&amp;"://docs.google.com/spreadsheets/d/16o_4B-V7AWw_6E93bSpXj_XxVv1oVQctk-B6z1dNEWU/edit?usp=share_link"",""สงขลา!L660"")+IMPORTRANGE(""https://docs.google.com/spreadsheets/d/16cywr71Fj4fA5OGRHsZh30ZG2gwJhMAQv69oVBzYHv0/edit?usp=share_link"",""สตูล!L660"")+IMP"&amp;"ORTRANGE(""https://docs.google.com/spreadsheets/d/1vO9Sws6kMtrVtyvrAJptINXjK8TFBoX9xLYOVK_C8bQ/edit?usp=share_link"",""สุราษฎร์ธานี!L660"")"),55000)</f>
        <v>55000</v>
      </c>
      <c r="M660" s="92">
        <f ca="1">IFERROR(__xludf.DUMMYFUNCTION("IMPORTRANGE(""https://docs.google.com/spreadsheets/d/1kC41EOXpGBFOW658Fs3oD8beYlym0-zO54WY-2Qnp9I/edit?usp=share_link"",""กระบี่!M660"")
+IMPORTRANGE(""https://docs.google.com/spreadsheets/d/1FbzMZY_f3MDiEuK7RpCQKrilJ_kpX0Wm7QBZ1L7EjIU/edit?usp=share_link"&amp;""",""ชุมพร!M660"")+IMPORTRANGE(""https://docs.google.com/spreadsheets/d/1v5sN-00LrXuhBxw4dkh2GrG_z4l5oAqOdJRBCsUyMaM/edit?usp=share_link"",""ตรัง!M660"")+IMPORTRANGE(""https://docs.google.com/spreadsheets/d/1T5rRTzFc79aSIvqnzkZNvwPstq829QYz_xALlO1Z0s8/edi"&amp;"t?usp=share_link"",""นครศรีธรรมราช!M660"")+IMPORTRANGE(""https://docs.google.com/spreadsheets/d/1BeghqumK0IvCmRd2QOy6_afsZq7ZtAGrSnVJy2u7WmY/edit?usp=share_link"",""นราธิวาส!M660"")+IMPORTRANGE(""https://docs.google.com/spreadsheets/d/1IwnW3-jjRf74MCLW-6P"&amp;"iFwMUffRQXZwZA7YM609NmRc/edit?usp=share_link"",""ปัตตานี!M660"")+IMPORTRANGE(""https://docs.google.com/spreadsheets/d/1vl4QWbWdFruual5o_wdo6ZSqXZ_it806oja4CctTLKs/edit?usp=share_link"",""พังงา!M660"")+IMPORTRANGE(""https://docs.google.com/spreadsheets/d/1"&amp;"b6QssHQp2FoAPSMKHOy273KNzAomaIKhtdlvuZ_zDNE/edit?usp=share_link"",""พัทลุง!M660"")+IMPORTRANGE(""https://docs.google.com/spreadsheets/d/1o7UZe4_OqlqtLDHrj01Z2YFRSZDf1DMy1n3XViHaxRc/edit?usp=share_link"",""ภูเก็ต!M660"")+IMPORTRANGE(""https://docs.google.c"&amp;"om/spreadsheets/d/1ctPm1vUzcUCPuOj9-eoHUD85PqINFqUB0TjdSWmR5-c/edit?usp=share_link"",""ยะลา!M660"")+IMPORTRANGE(""https://docs.google.com/spreadsheets/d/1YiDIE7Klmt8osgdapRqYWNr7iPGFSsiJqq46S7PYRE0/edit?usp=share_link"",""ระนอง!M660"")+IMPORTRANGE(""https"&amp;"://docs.google.com/spreadsheets/d/16o_4B-V7AWw_6E93bSpXj_XxVv1oVQctk-B6z1dNEWU/edit?usp=share_link"",""สงขลา!M660"")+IMPORTRANGE(""https://docs.google.com/spreadsheets/d/16cywr71Fj4fA5OGRHsZh30ZG2gwJhMAQv69oVBzYHv0/edit?usp=share_link"",""สตูล!M660"")+IMP"&amp;"ORTRANGE(""https://docs.google.com/spreadsheets/d/1vO9Sws6kMtrVtyvrAJptINXjK8TFBoX9xLYOVK_C8bQ/edit?usp=share_link"",""สุราษฎร์ธานี!M660"")"),41397.4)</f>
        <v>41397.4</v>
      </c>
      <c r="N660" s="44">
        <f ca="1">N661+N662+N663+N664</f>
        <v>41397.4</v>
      </c>
      <c r="O660" s="44">
        <f t="shared" ca="1" si="311"/>
        <v>75.268000000000001</v>
      </c>
      <c r="P660" s="44">
        <f t="shared" ca="1" si="312"/>
        <v>100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20.25" customHeight="1">
      <c r="A661" s="573"/>
      <c r="B661" s="574"/>
      <c r="C661" s="575"/>
      <c r="D661" s="575"/>
      <c r="E661" s="575"/>
      <c r="F661" s="576" t="s">
        <v>186</v>
      </c>
      <c r="G661" s="188"/>
      <c r="H661" s="160" t="s">
        <v>12</v>
      </c>
      <c r="I661" s="36"/>
      <c r="J661" s="36"/>
      <c r="K661" s="37"/>
      <c r="L661" s="37"/>
      <c r="M661" s="37"/>
      <c r="N661" s="282">
        <f ca="1">IFERROR(__xludf.DUMMYFUNCTION("IMPORTRANGE(""https://docs.google.com/spreadsheets/d/1kC41EOXpGBFOW658Fs3oD8beYlym0-zO54WY-2Qnp9I/edit?usp=share_link"",""กระบี่!N661"")
+IMPORTRANGE(""https://docs.google.com/spreadsheets/d/1FbzMZY_f3MDiEuK7RpCQKrilJ_kpX0Wm7QBZ1L7EjIU/edit?usp=share_link"&amp;""",""ชุมพร!N661"")+IMPORTRANGE(""https://docs.google.com/spreadsheets/d/1v5sN-00LrXuhBxw4dkh2GrG_z4l5oAqOdJRBCsUyMaM/edit?usp=share_link"",""ตรัง!N661"")+IMPORTRANGE(""https://docs.google.com/spreadsheets/d/1T5rRTzFc79aSIvqnzkZNvwPstq829QYz_xALlO1Z0s8/edi"&amp;"t?usp=share_link"",""นครศรีธรรมราช!N661"")+IMPORTRANGE(""https://docs.google.com/spreadsheets/d/1BeghqumK0IvCmRd2QOy6_afsZq7ZtAGrSnVJy2u7WmY/edit?usp=share_link"",""นราธิวาส!N661"")+IMPORTRANGE(""https://docs.google.com/spreadsheets/d/1IwnW3-jjRf74MCLW-6P"&amp;"iFwMUffRQXZwZA7YM609NmRc/edit?usp=share_link"",""ปัตตานี!N661"")+IMPORTRANGE(""https://docs.google.com/spreadsheets/d/1vl4QWbWdFruual5o_wdo6ZSqXZ_it806oja4CctTLKs/edit?usp=share_link"",""พังงา!N661"")+IMPORTRANGE(""https://docs.google.com/spreadsheets/d/1"&amp;"b6QssHQp2FoAPSMKHOy273KNzAomaIKhtdlvuZ_zDNE/edit?usp=share_link"",""พัทลุง!N661"")+IMPORTRANGE(""https://docs.google.com/spreadsheets/d/1o7UZe4_OqlqtLDHrj01Z2YFRSZDf1DMy1n3XViHaxRc/edit?usp=share_link"",""ภูเก็ต!N661"")+IMPORTRANGE(""https://docs.google.c"&amp;"om/spreadsheets/d/1ctPm1vUzcUCPuOj9-eoHUD85PqINFqUB0TjdSWmR5-c/edit?usp=share_link"",""ยะลา!N661"")+IMPORTRANGE(""https://docs.google.com/spreadsheets/d/1YiDIE7Klmt8osgdapRqYWNr7iPGFSsiJqq46S7PYRE0/edit?usp=share_link"",""ระนอง!N661"")+IMPORTRANGE(""https"&amp;"://docs.google.com/spreadsheets/d/16o_4B-V7AWw_6E93bSpXj_XxVv1oVQctk-B6z1dNEWU/edit?usp=share_link"",""สงขลา!N661"")+IMPORTRANGE(""https://docs.google.com/spreadsheets/d/16cywr71Fj4fA5OGRHsZh30ZG2gwJhMAQv69oVBzYHv0/edit?usp=share_link"",""สตูล!N661"")+IMP"&amp;"ORTRANGE(""https://docs.google.com/spreadsheets/d/1vO9Sws6kMtrVtyvrAJptINXjK8TFBoX9xLYOVK_C8bQ/edit?usp=share_link"",""สุราษฎร์ธานี!N661"")"),0)</f>
        <v>0</v>
      </c>
      <c r="O661" s="37"/>
      <c r="P661" s="37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20.25" customHeight="1">
      <c r="A662" s="573"/>
      <c r="B662" s="574"/>
      <c r="C662" s="575"/>
      <c r="D662" s="575"/>
      <c r="E662" s="575"/>
      <c r="F662" s="576" t="s">
        <v>187</v>
      </c>
      <c r="G662" s="188"/>
      <c r="H662" s="160" t="s">
        <v>12</v>
      </c>
      <c r="I662" s="36"/>
      <c r="J662" s="36"/>
      <c r="K662" s="37"/>
      <c r="L662" s="37"/>
      <c r="M662" s="37"/>
      <c r="N662" s="282">
        <f ca="1">IFERROR(__xludf.DUMMYFUNCTION("IMPORTRANGE(""https://docs.google.com/spreadsheets/d/1kC41EOXpGBFOW658Fs3oD8beYlym0-zO54WY-2Qnp9I/edit?usp=share_link"",""กระบี่!N662"")
+IMPORTRANGE(""https://docs.google.com/spreadsheets/d/1FbzMZY_f3MDiEuK7RpCQKrilJ_kpX0Wm7QBZ1L7EjIU/edit?usp=share_link"&amp;""",""ชุมพร!N662"")+IMPORTRANGE(""https://docs.google.com/spreadsheets/d/1v5sN-00LrXuhBxw4dkh2GrG_z4l5oAqOdJRBCsUyMaM/edit?usp=share_link"",""ตรัง!N662"")+IMPORTRANGE(""https://docs.google.com/spreadsheets/d/1T5rRTzFc79aSIvqnzkZNvwPstq829QYz_xALlO1Z0s8/edi"&amp;"t?usp=share_link"",""นครศรีธรรมราช!N662"")+IMPORTRANGE(""https://docs.google.com/spreadsheets/d/1BeghqumK0IvCmRd2QOy6_afsZq7ZtAGrSnVJy2u7WmY/edit?usp=share_link"",""นราธิวาส!N662"")+IMPORTRANGE(""https://docs.google.com/spreadsheets/d/1IwnW3-jjRf74MCLW-6P"&amp;"iFwMUffRQXZwZA7YM609NmRc/edit?usp=share_link"",""ปัตตานี!N662"")+IMPORTRANGE(""https://docs.google.com/spreadsheets/d/1vl4QWbWdFruual5o_wdo6ZSqXZ_it806oja4CctTLKs/edit?usp=share_link"",""พังงา!N662"")+IMPORTRANGE(""https://docs.google.com/spreadsheets/d/1"&amp;"b6QssHQp2FoAPSMKHOy273KNzAomaIKhtdlvuZ_zDNE/edit?usp=share_link"",""พัทลุง!N662"")+IMPORTRANGE(""https://docs.google.com/spreadsheets/d/1o7UZe4_OqlqtLDHrj01Z2YFRSZDf1DMy1n3XViHaxRc/edit?usp=share_link"",""ภูเก็ต!N662"")+IMPORTRANGE(""https://docs.google.c"&amp;"om/spreadsheets/d/1ctPm1vUzcUCPuOj9-eoHUD85PqINFqUB0TjdSWmR5-c/edit?usp=share_link"",""ยะลา!N662"")+IMPORTRANGE(""https://docs.google.com/spreadsheets/d/1YiDIE7Klmt8osgdapRqYWNr7iPGFSsiJqq46S7PYRE0/edit?usp=share_link"",""ระนอง!N662"")+IMPORTRANGE(""https"&amp;"://docs.google.com/spreadsheets/d/16o_4B-V7AWw_6E93bSpXj_XxVv1oVQctk-B6z1dNEWU/edit?usp=share_link"",""สงขลา!N662"")+IMPORTRANGE(""https://docs.google.com/spreadsheets/d/16cywr71Fj4fA5OGRHsZh30ZG2gwJhMAQv69oVBzYHv0/edit?usp=share_link"",""สตูล!N662"")+IMP"&amp;"ORTRANGE(""https://docs.google.com/spreadsheets/d/1vO9Sws6kMtrVtyvrAJptINXjK8TFBoX9xLYOVK_C8bQ/edit?usp=share_link"",""สุราษฎร์ธานี!N662"")"),0)</f>
        <v>0</v>
      </c>
      <c r="O662" s="37"/>
      <c r="P662" s="37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20.25" customHeight="1">
      <c r="A663" s="573"/>
      <c r="B663" s="574"/>
      <c r="C663" s="574"/>
      <c r="D663" s="575"/>
      <c r="E663" s="575"/>
      <c r="F663" s="576" t="s">
        <v>188</v>
      </c>
      <c r="G663" s="188"/>
      <c r="H663" s="160" t="s">
        <v>12</v>
      </c>
      <c r="I663" s="36"/>
      <c r="J663" s="36"/>
      <c r="K663" s="37"/>
      <c r="L663" s="37"/>
      <c r="M663" s="37"/>
      <c r="N663" s="282">
        <f ca="1">IFERROR(__xludf.DUMMYFUNCTION("IMPORTRANGE(""https://docs.google.com/spreadsheets/d/1kC41EOXpGBFOW658Fs3oD8beYlym0-zO54WY-2Qnp9I/edit?usp=share_link"",""กระบี่!N663"")
+IMPORTRANGE(""https://docs.google.com/spreadsheets/d/1FbzMZY_f3MDiEuK7RpCQKrilJ_kpX0Wm7QBZ1L7EjIU/edit?usp=share_link"&amp;""",""ชุมพร!N663"")+IMPORTRANGE(""https://docs.google.com/spreadsheets/d/1v5sN-00LrXuhBxw4dkh2GrG_z4l5oAqOdJRBCsUyMaM/edit?usp=share_link"",""ตรัง!N663"")+IMPORTRANGE(""https://docs.google.com/spreadsheets/d/1T5rRTzFc79aSIvqnzkZNvwPstq829QYz_xALlO1Z0s8/edi"&amp;"t?usp=share_link"",""นครศรีธรรมราช!N663"")+IMPORTRANGE(""https://docs.google.com/spreadsheets/d/1BeghqumK0IvCmRd2QOy6_afsZq7ZtAGrSnVJy2u7WmY/edit?usp=share_link"",""นราธิวาส!N663"")+IMPORTRANGE(""https://docs.google.com/spreadsheets/d/1IwnW3-jjRf74MCLW-6P"&amp;"iFwMUffRQXZwZA7YM609NmRc/edit?usp=share_link"",""ปัตตานี!N663"")+IMPORTRANGE(""https://docs.google.com/spreadsheets/d/1vl4QWbWdFruual5o_wdo6ZSqXZ_it806oja4CctTLKs/edit?usp=share_link"",""พังงา!N663"")+IMPORTRANGE(""https://docs.google.com/spreadsheets/d/1"&amp;"b6QssHQp2FoAPSMKHOy273KNzAomaIKhtdlvuZ_zDNE/edit?usp=share_link"",""พัทลุง!N663"")+IMPORTRANGE(""https://docs.google.com/spreadsheets/d/1o7UZe4_OqlqtLDHrj01Z2YFRSZDf1DMy1n3XViHaxRc/edit?usp=share_link"",""ภูเก็ต!N663"")+IMPORTRANGE(""https://docs.google.c"&amp;"om/spreadsheets/d/1ctPm1vUzcUCPuOj9-eoHUD85PqINFqUB0TjdSWmR5-c/edit?usp=share_link"",""ยะลา!N663"")+IMPORTRANGE(""https://docs.google.com/spreadsheets/d/1YiDIE7Klmt8osgdapRqYWNr7iPGFSsiJqq46S7PYRE0/edit?usp=share_link"",""ระนอง!N663"")+IMPORTRANGE(""https"&amp;"://docs.google.com/spreadsheets/d/16o_4B-V7AWw_6E93bSpXj_XxVv1oVQctk-B6z1dNEWU/edit?usp=share_link"",""สงขลา!N663"")+IMPORTRANGE(""https://docs.google.com/spreadsheets/d/16cywr71Fj4fA5OGRHsZh30ZG2gwJhMAQv69oVBzYHv0/edit?usp=share_link"",""สตูล!N663"")+IMP"&amp;"ORTRANGE(""https://docs.google.com/spreadsheets/d/1vO9Sws6kMtrVtyvrAJptINXjK8TFBoX9xLYOVK_C8bQ/edit?usp=share_link"",""สุราษฎร์ธานี!N663"")"),0)</f>
        <v>0</v>
      </c>
      <c r="O663" s="37"/>
      <c r="P663" s="37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20.25" customHeight="1">
      <c r="A664" s="573"/>
      <c r="B664" s="574"/>
      <c r="C664" s="574"/>
      <c r="D664" s="574"/>
      <c r="E664" s="575"/>
      <c r="F664" s="576" t="s">
        <v>189</v>
      </c>
      <c r="G664" s="188"/>
      <c r="H664" s="160" t="s">
        <v>12</v>
      </c>
      <c r="I664" s="36"/>
      <c r="J664" s="36"/>
      <c r="K664" s="37"/>
      <c r="L664" s="37"/>
      <c r="M664" s="37"/>
      <c r="N664" s="282">
        <f ca="1">IFERROR(__xludf.DUMMYFUNCTION("IMPORTRANGE(""https://docs.google.com/spreadsheets/d/1kC41EOXpGBFOW658Fs3oD8beYlym0-zO54WY-2Qnp9I/edit?usp=share_link"",""กระบี่!N664"")
+IMPORTRANGE(""https://docs.google.com/spreadsheets/d/1FbzMZY_f3MDiEuK7RpCQKrilJ_kpX0Wm7QBZ1L7EjIU/edit?usp=share_link"&amp;""",""ชุมพร!N664"")+IMPORTRANGE(""https://docs.google.com/spreadsheets/d/1v5sN-00LrXuhBxw4dkh2GrG_z4l5oAqOdJRBCsUyMaM/edit?usp=share_link"",""ตรัง!N664"")+IMPORTRANGE(""https://docs.google.com/spreadsheets/d/1T5rRTzFc79aSIvqnzkZNvwPstq829QYz_xALlO1Z0s8/edi"&amp;"t?usp=share_link"",""นครศรีธรรมราช!N664"")+IMPORTRANGE(""https://docs.google.com/spreadsheets/d/1BeghqumK0IvCmRd2QOy6_afsZq7ZtAGrSnVJy2u7WmY/edit?usp=share_link"",""นราธิวาส!N664"")+IMPORTRANGE(""https://docs.google.com/spreadsheets/d/1IwnW3-jjRf74MCLW-6P"&amp;"iFwMUffRQXZwZA7YM609NmRc/edit?usp=share_link"",""ปัตตานี!N664"")+IMPORTRANGE(""https://docs.google.com/spreadsheets/d/1vl4QWbWdFruual5o_wdo6ZSqXZ_it806oja4CctTLKs/edit?usp=share_link"",""พังงา!N664"")+IMPORTRANGE(""https://docs.google.com/spreadsheets/d/1"&amp;"b6QssHQp2FoAPSMKHOy273KNzAomaIKhtdlvuZ_zDNE/edit?usp=share_link"",""พัทลุง!N664"")+IMPORTRANGE(""https://docs.google.com/spreadsheets/d/1o7UZe4_OqlqtLDHrj01Z2YFRSZDf1DMy1n3XViHaxRc/edit?usp=share_link"",""ภูเก็ต!N664"")+IMPORTRANGE(""https://docs.google.c"&amp;"om/spreadsheets/d/1ctPm1vUzcUCPuOj9-eoHUD85PqINFqUB0TjdSWmR5-c/edit?usp=share_link"",""ยะลา!N664"")+IMPORTRANGE(""https://docs.google.com/spreadsheets/d/1YiDIE7Klmt8osgdapRqYWNr7iPGFSsiJqq46S7PYRE0/edit?usp=share_link"",""ระนอง!N664"")+IMPORTRANGE(""https"&amp;"://docs.google.com/spreadsheets/d/16o_4B-V7AWw_6E93bSpXj_XxVv1oVQctk-B6z1dNEWU/edit?usp=share_link"",""สงขลา!N664"")+IMPORTRANGE(""https://docs.google.com/spreadsheets/d/16cywr71Fj4fA5OGRHsZh30ZG2gwJhMAQv69oVBzYHv0/edit?usp=share_link"",""สตูล!N664"")+IMP"&amp;"ORTRANGE(""https://docs.google.com/spreadsheets/d/1vO9Sws6kMtrVtyvrAJptINXjK8TFBoX9xLYOVK_C8bQ/edit?usp=share_link"",""สุราษฎร์ธานี!N664"")"),41397.4)</f>
        <v>41397.4</v>
      </c>
      <c r="O664" s="37"/>
      <c r="P664" s="37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20.25" customHeight="1">
      <c r="A665" s="596"/>
      <c r="B665" s="574"/>
      <c r="C665" s="574"/>
      <c r="D665" s="605" t="s">
        <v>21</v>
      </c>
      <c r="E665" s="575"/>
      <c r="F665" s="575"/>
      <c r="G665" s="188"/>
      <c r="H665" s="167" t="s">
        <v>12</v>
      </c>
      <c r="I665" s="161"/>
      <c r="J665" s="161"/>
      <c r="K665" s="162"/>
      <c r="L665" s="37">
        <f t="shared" ref="L665:N665" si="316">L666+L667</f>
        <v>0</v>
      </c>
      <c r="M665" s="37">
        <f t="shared" si="316"/>
        <v>0</v>
      </c>
      <c r="N665" s="37">
        <f t="shared" si="316"/>
        <v>0</v>
      </c>
      <c r="O665" s="37">
        <f t="shared" ref="O665:O667" si="317">IF(L665&gt;0,N665*100/L665,0)</f>
        <v>0</v>
      </c>
      <c r="P665" s="37">
        <f t="shared" ref="P665:P667" si="318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20.25" hidden="1" customHeight="1">
      <c r="A666" s="598"/>
      <c r="B666" s="604"/>
      <c r="C666" s="604"/>
      <c r="D666" s="604"/>
      <c r="E666" s="601" t="s">
        <v>18</v>
      </c>
      <c r="F666" s="599"/>
      <c r="G666" s="602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44">
        <f t="shared" si="317"/>
        <v>0</v>
      </c>
      <c r="P666" s="44">
        <f t="shared" si="318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20.25" hidden="1" customHeight="1">
      <c r="A667" s="598"/>
      <c r="B667" s="604"/>
      <c r="C667" s="604"/>
      <c r="D667" s="604"/>
      <c r="E667" s="601" t="s">
        <v>19</v>
      </c>
      <c r="F667" s="599"/>
      <c r="G667" s="602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44">
        <f t="shared" si="317"/>
        <v>0</v>
      </c>
      <c r="P667" s="44">
        <f t="shared" si="318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20.25" customHeight="1">
      <c r="A668" s="607"/>
      <c r="B668" s="608"/>
      <c r="C668" s="574" t="s">
        <v>16</v>
      </c>
      <c r="D668" s="609" t="s">
        <v>38</v>
      </c>
      <c r="E668" s="611"/>
      <c r="F668" s="611"/>
      <c r="G668" s="612"/>
      <c r="H668" s="174"/>
      <c r="I668" s="161"/>
      <c r="J668" s="161"/>
      <c r="K668" s="162"/>
      <c r="L668" s="162"/>
      <c r="M668" s="162"/>
      <c r="N668" s="162"/>
      <c r="O668" s="162"/>
      <c r="P668" s="162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20.25" customHeight="1">
      <c r="A669" s="607"/>
      <c r="B669" s="608"/>
      <c r="C669" s="608"/>
      <c r="D669" s="617" t="s">
        <v>280</v>
      </c>
      <c r="E669" s="618"/>
      <c r="F669" s="618"/>
      <c r="G669" s="174"/>
      <c r="H669" s="751" t="s">
        <v>46</v>
      </c>
      <c r="I669" s="193">
        <f ca="1">IFERROR(__xludf.DUMMYFUNCTION("IMPORTRANGE(""https://docs.google.com/spreadsheets/d/1kC41EOXpGBFOW658Fs3oD8beYlym0-zO54WY-2Qnp9I/edit?usp=share_link"",""กระบี่!I669"")
+IMPORTRANGE(""https://docs.google.com/spreadsheets/d/1FbzMZY_f3MDiEuK7RpCQKrilJ_kpX0Wm7QBZ1L7EjIU/edit?usp=share_link"&amp;""",""ชุมพร!I669"")+IMPORTRANGE(""https://docs.google.com/spreadsheets/d/1v5sN-00LrXuhBxw4dkh2GrG_z4l5oAqOdJRBCsUyMaM/edit?usp=share_link"",""ตรัง!I669"")+IMPORTRANGE(""https://docs.google.com/spreadsheets/d/1T5rRTzFc79aSIvqnzkZNvwPstq829QYz_xALlO1Z0s8/edi"&amp;"t?usp=share_link"",""นครศรีธรรมราช!I669"")+IMPORTRANGE(""https://docs.google.com/spreadsheets/d/1BeghqumK0IvCmRd2QOy6_afsZq7ZtAGrSnVJy2u7WmY/edit?usp=share_link"",""นราธิวาส!I669"")+IMPORTRANGE(""https://docs.google.com/spreadsheets/d/1IwnW3-jjRf74MCLW-6P"&amp;"iFwMUffRQXZwZA7YM609NmRc/edit?usp=share_link"",""ปัตตานี!I669"")+IMPORTRANGE(""https://docs.google.com/spreadsheets/d/1vl4QWbWdFruual5o_wdo6ZSqXZ_it806oja4CctTLKs/edit?usp=share_link"",""พังงา!I669"")+IMPORTRANGE(""https://docs.google.com/spreadsheets/d/1"&amp;"b6QssHQp2FoAPSMKHOy273KNzAomaIKhtdlvuZ_zDNE/edit?usp=share_link"",""พัทลุง!I669"")+IMPORTRANGE(""https://docs.google.com/spreadsheets/d/1o7UZe4_OqlqtLDHrj01Z2YFRSZDf1DMy1n3XViHaxRc/edit?usp=share_link"",""ภูเก็ต!I669"")+IMPORTRANGE(""https://docs.google.c"&amp;"om/spreadsheets/d/1ctPm1vUzcUCPuOj9-eoHUD85PqINFqUB0TjdSWmR5-c/edit?usp=share_link"",""ยะลา!I669"")+IMPORTRANGE(""https://docs.google.com/spreadsheets/d/1YiDIE7Klmt8osgdapRqYWNr7iPGFSsiJqq46S7PYRE0/edit?usp=share_link"",""ระนอง!I669"")+IMPORTRANGE(""https"&amp;"://docs.google.com/spreadsheets/d/16o_4B-V7AWw_6E93bSpXj_XxVv1oVQctk-B6z1dNEWU/edit?usp=share_link"",""สงขลา!I669"")+IMPORTRANGE(""https://docs.google.com/spreadsheets/d/16cywr71Fj4fA5OGRHsZh30ZG2gwJhMAQv69oVBzYHv0/edit?usp=share_link"",""สตูล!I669"")+IMP"&amp;"ORTRANGE(""https://docs.google.com/spreadsheets/d/1vO9Sws6kMtrVtyvrAJptINXjK8TFBoX9xLYOVK_C8bQ/edit?usp=share_link"",""สุราษฎร์ธานี!I669"")"),250)</f>
        <v>250</v>
      </c>
      <c r="J669" s="193">
        <f ca="1"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20.25" customHeight="1">
      <c r="A670" s="607"/>
      <c r="B670" s="608"/>
      <c r="C670" s="608"/>
      <c r="D670" s="608"/>
      <c r="E670" s="186" t="s">
        <v>281</v>
      </c>
      <c r="F670" s="618"/>
      <c r="G670" s="174"/>
      <c r="H670" s="448" t="s">
        <v>66</v>
      </c>
      <c r="I670" s="36">
        <f ca="1">IFERROR(__xludf.DUMMYFUNCTION("IMPORTRANGE(""https://docs.google.com/spreadsheets/d/1kC41EOXpGBFOW658Fs3oD8beYlym0-zO54WY-2Qnp9I/edit?usp=share_link"",""กระบี่!I670"")
+IMPORTRANGE(""https://docs.google.com/spreadsheets/d/1FbzMZY_f3MDiEuK7RpCQKrilJ_kpX0Wm7QBZ1L7EjIU/edit?usp=share_link"&amp;""",""ชุมพร!I670"")+IMPORTRANGE(""https://docs.google.com/spreadsheets/d/1v5sN-00LrXuhBxw4dkh2GrG_z4l5oAqOdJRBCsUyMaM/edit?usp=share_link"",""ตรัง!I670"")+IMPORTRANGE(""https://docs.google.com/spreadsheets/d/1T5rRTzFc79aSIvqnzkZNvwPstq829QYz_xALlO1Z0s8/edi"&amp;"t?usp=share_link"",""นครศรีธรรมราช!I670"")+IMPORTRANGE(""https://docs.google.com/spreadsheets/d/1BeghqumK0IvCmRd2QOy6_afsZq7ZtAGrSnVJy2u7WmY/edit?usp=share_link"",""นราธิวาส!I670"")+IMPORTRANGE(""https://docs.google.com/spreadsheets/d/1IwnW3-jjRf74MCLW-6P"&amp;"iFwMUffRQXZwZA7YM609NmRc/edit?usp=share_link"",""ปัตตานี!I670"")+IMPORTRANGE(""https://docs.google.com/spreadsheets/d/1vl4QWbWdFruual5o_wdo6ZSqXZ_it806oja4CctTLKs/edit?usp=share_link"",""พังงา!I670"")+IMPORTRANGE(""https://docs.google.com/spreadsheets/d/1"&amp;"b6QssHQp2FoAPSMKHOy273KNzAomaIKhtdlvuZ_zDNE/edit?usp=share_link"",""พัทลุง!I670"")+IMPORTRANGE(""https://docs.google.com/spreadsheets/d/1o7UZe4_OqlqtLDHrj01Z2YFRSZDf1DMy1n3XViHaxRc/edit?usp=share_link"",""ภูเก็ต!I670"")+IMPORTRANGE(""https://docs.google.c"&amp;"om/spreadsheets/d/1ctPm1vUzcUCPuOj9-eoHUD85PqINFqUB0TjdSWmR5-c/edit?usp=share_link"",""ยะลา!I670"")+IMPORTRANGE(""https://docs.google.com/spreadsheets/d/1YiDIE7Klmt8osgdapRqYWNr7iPGFSsiJqq46S7PYRE0/edit?usp=share_link"",""ระนอง!I670"")+IMPORTRANGE(""https"&amp;"://docs.google.com/spreadsheets/d/16o_4B-V7AWw_6E93bSpXj_XxVv1oVQctk-B6z1dNEWU/edit?usp=share_link"",""สงขลา!I670"")+IMPORTRANGE(""https://docs.google.com/spreadsheets/d/16cywr71Fj4fA5OGRHsZh30ZG2gwJhMAQv69oVBzYHv0/edit?usp=share_link"",""สตูล!I670"")+IMP"&amp;"ORTRANGE(""https://docs.google.com/spreadsheets/d/1vO9Sws6kMtrVtyvrAJptINXjK8TFBoX9xLYOVK_C8bQ/edit?usp=share_link"",""สุราษฎร์ธานี!I670"")"),25)</f>
        <v>25</v>
      </c>
      <c r="J670" s="182">
        <f ca="1">IFERROR(__xludf.DUMMYFUNCTION("IMPORTRANGE(""https://docs.google.com/spreadsheets/d/1kC41EOXpGBFOW658Fs3oD8beYlym0-zO54WY-2Qnp9I/edit?usp=share_link"",""กระบี่!J670"")
+IMPORTRANGE(""https://docs.google.com/spreadsheets/d/1FbzMZY_f3MDiEuK7RpCQKrilJ_kpX0Wm7QBZ1L7EjIU/edit?usp=share_link"&amp;""",""ชุมพร!J670"")+IMPORTRANGE(""https://docs.google.com/spreadsheets/d/1v5sN-00LrXuhBxw4dkh2GrG_z4l5oAqOdJRBCsUyMaM/edit?usp=share_link"",""ตรัง!J670"")+IMPORTRANGE(""https://docs.google.com/spreadsheets/d/1T5rRTzFc79aSIvqnzkZNvwPstq829QYz_xALlO1Z0s8/edi"&amp;"t?usp=share_link"",""นครศรีธรรมราช!J670"")+IMPORTRANGE(""https://docs.google.com/spreadsheets/d/1BeghqumK0IvCmRd2QOy6_afsZq7ZtAGrSnVJy2u7WmY/edit?usp=share_link"",""นราธิวาส!J670"")+IMPORTRANGE(""https://docs.google.com/spreadsheets/d/1IwnW3-jjRf74MCLW-6P"&amp;"iFwMUffRQXZwZA7YM609NmRc/edit?usp=share_link"",""ปัตตานี!J670"")+IMPORTRANGE(""https://docs.google.com/spreadsheets/d/1vl4QWbWdFruual5o_wdo6ZSqXZ_it806oja4CctTLKs/edit?usp=share_link"",""พังงา!J670"")+IMPORTRANGE(""https://docs.google.com/spreadsheets/d/1"&amp;"b6QssHQp2FoAPSMKHOy273KNzAomaIKhtdlvuZ_zDNE/edit?usp=share_link"",""พัทลุง!J670"")+IMPORTRANGE(""https://docs.google.com/spreadsheets/d/1o7UZe4_OqlqtLDHrj01Z2YFRSZDf1DMy1n3XViHaxRc/edit?usp=share_link"",""ภูเก็ต!J670"")+IMPORTRANGE(""https://docs.google.c"&amp;"om/spreadsheets/d/1ctPm1vUzcUCPuOj9-eoHUD85PqINFqUB0TjdSWmR5-c/edit?usp=share_link"",""ยะลา!J670"")+IMPORTRANGE(""https://docs.google.com/spreadsheets/d/1YiDIE7Klmt8osgdapRqYWNr7iPGFSsiJqq46S7PYRE0/edit?usp=share_link"",""ระนอง!J670"")+IMPORTRANGE(""https"&amp;"://docs.google.com/spreadsheets/d/16o_4B-V7AWw_6E93bSpXj_XxVv1oVQctk-B6z1dNEWU/edit?usp=share_link"",""สงขลา!J670"")+IMPORTRANGE(""https://docs.google.com/spreadsheets/d/16cywr71Fj4fA5OGRHsZh30ZG2gwJhMAQv69oVBzYHv0/edit?usp=share_link"",""สตูล!J670"")+IMP"&amp;"ORTRANGE(""https://docs.google.com/spreadsheets/d/1vO9Sws6kMtrVtyvrAJptINXjK8TFBoX9xLYOVK_C8bQ/edit?usp=share_link"",""สุราษฎร์ธานี!J670"")"),25)</f>
        <v>25</v>
      </c>
      <c r="K670" s="37">
        <f ca="1">IF(I670&gt;0,(J670*100)/I670,0)</f>
        <v>100</v>
      </c>
      <c r="L670" s="162"/>
      <c r="M670" s="162"/>
      <c r="N670" s="162"/>
      <c r="O670" s="162"/>
      <c r="P670" s="162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20.25" customHeight="1">
      <c r="A671" s="607"/>
      <c r="B671" s="608"/>
      <c r="C671" s="608"/>
      <c r="D671" s="608"/>
      <c r="E671" s="186" t="s">
        <v>282</v>
      </c>
      <c r="F671" s="618"/>
      <c r="G671" s="174"/>
      <c r="H671" s="448" t="s">
        <v>66</v>
      </c>
      <c r="I671" s="36">
        <f ca="1">IFERROR(__xludf.DUMMYFUNCTION("IMPORTRANGE(""https://docs.google.com/spreadsheets/d/1kC41EOXpGBFOW658Fs3oD8beYlym0-zO54WY-2Qnp9I/edit?usp=share_link"",""กระบี่!I671"")
+IMPORTRANGE(""https://docs.google.com/spreadsheets/d/1FbzMZY_f3MDiEuK7RpCQKrilJ_kpX0Wm7QBZ1L7EjIU/edit?usp=share_link"&amp;""",""ชุมพร!I671"")+IMPORTRANGE(""https://docs.google.com/spreadsheets/d/1v5sN-00LrXuhBxw4dkh2GrG_z4l5oAqOdJRBCsUyMaM/edit?usp=share_link"",""ตรัง!I671"")+IMPORTRANGE(""https://docs.google.com/spreadsheets/d/1T5rRTzFc79aSIvqnzkZNvwPstq829QYz_xALlO1Z0s8/edi"&amp;"t?usp=share_link"",""นครศรีธรรมราช!I671"")+IMPORTRANGE(""https://docs.google.com/spreadsheets/d/1BeghqumK0IvCmRd2QOy6_afsZq7ZtAGrSnVJy2u7WmY/edit?usp=share_link"",""นราธิวาส!I671"")+IMPORTRANGE(""https://docs.google.com/spreadsheets/d/1IwnW3-jjRf74MCLW-6P"&amp;"iFwMUffRQXZwZA7YM609NmRc/edit?usp=share_link"",""ปัตตานี!I671"")+IMPORTRANGE(""https://docs.google.com/spreadsheets/d/1vl4QWbWdFruual5o_wdo6ZSqXZ_it806oja4CctTLKs/edit?usp=share_link"",""พังงา!I671"")+IMPORTRANGE(""https://docs.google.com/spreadsheets/d/1"&amp;"b6QssHQp2FoAPSMKHOy273KNzAomaIKhtdlvuZ_zDNE/edit?usp=share_link"",""พัทลุง!I671"")+IMPORTRANGE(""https://docs.google.com/spreadsheets/d/1o7UZe4_OqlqtLDHrj01Z2YFRSZDf1DMy1n3XViHaxRc/edit?usp=share_link"",""ภูเก็ต!I671"")+IMPORTRANGE(""https://docs.google.c"&amp;"om/spreadsheets/d/1ctPm1vUzcUCPuOj9-eoHUD85PqINFqUB0TjdSWmR5-c/edit?usp=share_link"",""ยะลา!I671"")+IMPORTRANGE(""https://docs.google.com/spreadsheets/d/1YiDIE7Klmt8osgdapRqYWNr7iPGFSsiJqq46S7PYRE0/edit?usp=share_link"",""ระนอง!I671"")+IMPORTRANGE(""https"&amp;"://docs.google.com/spreadsheets/d/16o_4B-V7AWw_6E93bSpXj_XxVv1oVQctk-B6z1dNEWU/edit?usp=share_link"",""สงขลา!I671"")+IMPORTRANGE(""https://docs.google.com/spreadsheets/d/16cywr71Fj4fA5OGRHsZh30ZG2gwJhMAQv69oVBzYHv0/edit?usp=share_link"",""สตูล!I671"")+IMP"&amp;"ORTRANGE(""https://docs.google.com/spreadsheets/d/1vO9Sws6kMtrVtyvrAJptINXjK8TFBoX9xLYOVK_C8bQ/edit?usp=share_link"",""สุราษฎร์ธานี!I671"")"),25)</f>
        <v>25</v>
      </c>
      <c r="J671" s="182">
        <f ca="1">IFERROR(__xludf.DUMMYFUNCTION("IMPORTRANGE(""https://docs.google.com/spreadsheets/d/1kC41EOXpGBFOW658Fs3oD8beYlym0-zO54WY-2Qnp9I/edit?usp=share_link"",""กระบี่!J671"")
+IMPORTRANGE(""https://docs.google.com/spreadsheets/d/1FbzMZY_f3MDiEuK7RpCQKrilJ_kpX0Wm7QBZ1L7EjIU/edit?usp=share_link"&amp;""",""ชุมพร!J671"")+IMPORTRANGE(""https://docs.google.com/spreadsheets/d/1v5sN-00LrXuhBxw4dkh2GrG_z4l5oAqOdJRBCsUyMaM/edit?usp=share_link"",""ตรัง!J671"")+IMPORTRANGE(""https://docs.google.com/spreadsheets/d/1T5rRTzFc79aSIvqnzkZNvwPstq829QYz_xALlO1Z0s8/edi"&amp;"t?usp=share_link"",""นครศรีธรรมราช!J671"")+IMPORTRANGE(""https://docs.google.com/spreadsheets/d/1BeghqumK0IvCmRd2QOy6_afsZq7ZtAGrSnVJy2u7WmY/edit?usp=share_link"",""นราธิวาส!J671"")+IMPORTRANGE(""https://docs.google.com/spreadsheets/d/1IwnW3-jjRf74MCLW-6P"&amp;"iFwMUffRQXZwZA7YM609NmRc/edit?usp=share_link"",""ปัตตานี!J671"")+IMPORTRANGE(""https://docs.google.com/spreadsheets/d/1vl4QWbWdFruual5o_wdo6ZSqXZ_it806oja4CctTLKs/edit?usp=share_link"",""พังงา!J671"")+IMPORTRANGE(""https://docs.google.com/spreadsheets/d/1"&amp;"b6QssHQp2FoAPSMKHOy273KNzAomaIKhtdlvuZ_zDNE/edit?usp=share_link"",""พัทลุง!J671"")+IMPORTRANGE(""https://docs.google.com/spreadsheets/d/1o7UZe4_OqlqtLDHrj01Z2YFRSZDf1DMy1n3XViHaxRc/edit?usp=share_link"",""ภูเก็ต!J671"")+IMPORTRANGE(""https://docs.google.c"&amp;"om/spreadsheets/d/1ctPm1vUzcUCPuOj9-eoHUD85PqINFqUB0TjdSWmR5-c/edit?usp=share_link"",""ยะลา!J671"")+IMPORTRANGE(""https://docs.google.com/spreadsheets/d/1YiDIE7Klmt8osgdapRqYWNr7iPGFSsiJqq46S7PYRE0/edit?usp=share_link"",""ระนอง!J671"")+IMPORTRANGE(""https"&amp;"://docs.google.com/spreadsheets/d/16o_4B-V7AWw_6E93bSpXj_XxVv1oVQctk-B6z1dNEWU/edit?usp=share_link"",""สงขลา!J671"")+IMPORTRANGE(""https://docs.google.com/spreadsheets/d/16cywr71Fj4fA5OGRHsZh30ZG2gwJhMAQv69oVBzYHv0/edit?usp=share_link"",""สตูล!J671"")+IMP"&amp;"ORTRANGE(""https://docs.google.com/spreadsheets/d/1vO9Sws6kMtrVtyvrAJptINXjK8TFBoX9xLYOVK_C8bQ/edit?usp=share_link"",""สุราษฎร์ธานี!J671"")"),25)</f>
        <v>25</v>
      </c>
      <c r="K671" s="37">
        <f ca="1">IF(I$671&gt;0,J671*100/I$671,0)</f>
        <v>100</v>
      </c>
      <c r="L671" s="162"/>
      <c r="M671" s="162"/>
      <c r="N671" s="162"/>
      <c r="O671" s="162"/>
      <c r="P671" s="162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20.25" customHeight="1">
      <c r="A672" s="607"/>
      <c r="B672" s="608"/>
      <c r="C672" s="608"/>
      <c r="D672" s="608"/>
      <c r="E672" s="186" t="s">
        <v>283</v>
      </c>
      <c r="F672" s="618"/>
      <c r="G672" s="174"/>
      <c r="H672" s="181" t="s">
        <v>46</v>
      </c>
      <c r="I672" s="36"/>
      <c r="J672" s="182">
        <f ca="1">IFERROR(__xludf.DUMMYFUNCTION("IMPORTRANGE(""https://docs.google.com/spreadsheets/d/1kC41EOXpGBFOW658Fs3oD8beYlym0-zO54WY-2Qnp9I/edit?usp=share_link"",""กระบี่!J672"")
+IMPORTRANGE(""https://docs.google.com/spreadsheets/d/1FbzMZY_f3MDiEuK7RpCQKrilJ_kpX0Wm7QBZ1L7EjIU/edit?usp=share_link"&amp;""",""ชุมพร!J672"")+IMPORTRANGE(""https://docs.google.com/spreadsheets/d/1v5sN-00LrXuhBxw4dkh2GrG_z4l5oAqOdJRBCsUyMaM/edit?usp=share_link"",""ตรัง!J672"")+IMPORTRANGE(""https://docs.google.com/spreadsheets/d/1T5rRTzFc79aSIvqnzkZNvwPstq829QYz_xALlO1Z0s8/edi"&amp;"t?usp=share_link"",""นครศรีธรรมราช!J672"")+IMPORTRANGE(""https://docs.google.com/spreadsheets/d/1BeghqumK0IvCmRd2QOy6_afsZq7ZtAGrSnVJy2u7WmY/edit?usp=share_link"",""นราธิวาส!J672"")+IMPORTRANGE(""https://docs.google.com/spreadsheets/d/1IwnW3-jjRf74MCLW-6P"&amp;"iFwMUffRQXZwZA7YM609NmRc/edit?usp=share_link"",""ปัตตานี!J672"")+IMPORTRANGE(""https://docs.google.com/spreadsheets/d/1vl4QWbWdFruual5o_wdo6ZSqXZ_it806oja4CctTLKs/edit?usp=share_link"",""พังงา!J672"")+IMPORTRANGE(""https://docs.google.com/spreadsheets/d/1"&amp;"b6QssHQp2FoAPSMKHOy273KNzAomaIKhtdlvuZ_zDNE/edit?usp=share_link"",""พัทลุง!J672"")+IMPORTRANGE(""https://docs.google.com/spreadsheets/d/1o7UZe4_OqlqtLDHrj01Z2YFRSZDf1DMy1n3XViHaxRc/edit?usp=share_link"",""ภูเก็ต!J672"")+IMPORTRANGE(""https://docs.google.c"&amp;"om/spreadsheets/d/1ctPm1vUzcUCPuOj9-eoHUD85PqINFqUB0TjdSWmR5-c/edit?usp=share_link"",""ยะลา!J672"")+IMPORTRANGE(""https://docs.google.com/spreadsheets/d/1YiDIE7Klmt8osgdapRqYWNr7iPGFSsiJqq46S7PYRE0/edit?usp=share_link"",""ระนอง!J672"")+IMPORTRANGE(""https"&amp;"://docs.google.com/spreadsheets/d/16o_4B-V7AWw_6E93bSpXj_XxVv1oVQctk-B6z1dNEWU/edit?usp=share_link"",""สงขลา!J672"")+IMPORTRANGE(""https://docs.google.com/spreadsheets/d/16cywr71Fj4fA5OGRHsZh30ZG2gwJhMAQv69oVBzYHv0/edit?usp=share_link"",""สตูล!J672"")+IMP"&amp;"ORTRANGE(""https://docs.google.com/spreadsheets/d/1vO9Sws6kMtrVtyvrAJptINXjK8TFBoX9xLYOVK_C8bQ/edit?usp=share_link"",""สุราษฎร์ธานี!J672"")"),259)</f>
        <v>259</v>
      </c>
      <c r="K672" s="37">
        <f t="shared" ref="K672:K675" ca="1" si="319">IF(I$669&gt;0,J672*100/I$669,0)</f>
        <v>103.6</v>
      </c>
      <c r="L672" s="162"/>
      <c r="M672" s="162"/>
      <c r="N672" s="162"/>
      <c r="O672" s="162"/>
      <c r="P672" s="162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20.25" customHeight="1">
      <c r="A673" s="607"/>
      <c r="B673" s="608"/>
      <c r="C673" s="608"/>
      <c r="D673" s="608"/>
      <c r="E673" s="186" t="s">
        <v>284</v>
      </c>
      <c r="F673" s="618"/>
      <c r="G673" s="174"/>
      <c r="H673" s="181" t="s">
        <v>46</v>
      </c>
      <c r="I673" s="36"/>
      <c r="J673" s="182">
        <f ca="1">IFERROR(__xludf.DUMMYFUNCTION("IMPORTRANGE(""https://docs.google.com/spreadsheets/d/1kC41EOXpGBFOW658Fs3oD8beYlym0-zO54WY-2Qnp9I/edit?usp=share_link"",""กระบี่!J673"")
+IMPORTRANGE(""https://docs.google.com/spreadsheets/d/1FbzMZY_f3MDiEuK7RpCQKrilJ_kpX0Wm7QBZ1L7EjIU/edit?usp=share_link"&amp;""",""ชุมพร!J673"")+IMPORTRANGE(""https://docs.google.com/spreadsheets/d/1v5sN-00LrXuhBxw4dkh2GrG_z4l5oAqOdJRBCsUyMaM/edit?usp=share_link"",""ตรัง!J673"")+IMPORTRANGE(""https://docs.google.com/spreadsheets/d/1T5rRTzFc79aSIvqnzkZNvwPstq829QYz_xALlO1Z0s8/edi"&amp;"t?usp=share_link"",""นครศรีธรรมราช!J673"")+IMPORTRANGE(""https://docs.google.com/spreadsheets/d/1BeghqumK0IvCmRd2QOy6_afsZq7ZtAGrSnVJy2u7WmY/edit?usp=share_link"",""นราธิวาส!J673"")+IMPORTRANGE(""https://docs.google.com/spreadsheets/d/1IwnW3-jjRf74MCLW-6P"&amp;"iFwMUffRQXZwZA7YM609NmRc/edit?usp=share_link"",""ปัตตานี!J673"")+IMPORTRANGE(""https://docs.google.com/spreadsheets/d/1vl4QWbWdFruual5o_wdo6ZSqXZ_it806oja4CctTLKs/edit?usp=share_link"",""พังงา!J673"")+IMPORTRANGE(""https://docs.google.com/spreadsheets/d/1"&amp;"b6QssHQp2FoAPSMKHOy273KNzAomaIKhtdlvuZ_zDNE/edit?usp=share_link"",""พัทลุง!J673"")+IMPORTRANGE(""https://docs.google.com/spreadsheets/d/1o7UZe4_OqlqtLDHrj01Z2YFRSZDf1DMy1n3XViHaxRc/edit?usp=share_link"",""ภูเก็ต!J673"")+IMPORTRANGE(""https://docs.google.c"&amp;"om/spreadsheets/d/1ctPm1vUzcUCPuOj9-eoHUD85PqINFqUB0TjdSWmR5-c/edit?usp=share_link"",""ยะลา!J673"")+IMPORTRANGE(""https://docs.google.com/spreadsheets/d/1YiDIE7Klmt8osgdapRqYWNr7iPGFSsiJqq46S7PYRE0/edit?usp=share_link"",""ระนอง!J673"")+IMPORTRANGE(""https"&amp;"://docs.google.com/spreadsheets/d/16o_4B-V7AWw_6E93bSpXj_XxVv1oVQctk-B6z1dNEWU/edit?usp=share_link"",""สงขลา!J673"")+IMPORTRANGE(""https://docs.google.com/spreadsheets/d/16cywr71Fj4fA5OGRHsZh30ZG2gwJhMAQv69oVBzYHv0/edit?usp=share_link"",""สตูล!J673"")+IMP"&amp;"ORTRANGE(""https://docs.google.com/spreadsheets/d/1vO9Sws6kMtrVtyvrAJptINXjK8TFBoX9xLYOVK_C8bQ/edit?usp=share_link"",""สุราษฎร์ธานี!J673"")"),57)</f>
        <v>57</v>
      </c>
      <c r="K673" s="37">
        <f t="shared" ca="1" si="319"/>
        <v>22.8</v>
      </c>
      <c r="L673" s="162"/>
      <c r="M673" s="162"/>
      <c r="N673" s="162"/>
      <c r="O673" s="162"/>
      <c r="P673" s="162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20.25" customHeight="1">
      <c r="A674" s="607"/>
      <c r="B674" s="608"/>
      <c r="C674" s="608"/>
      <c r="D674" s="608"/>
      <c r="E674" s="186" t="s">
        <v>285</v>
      </c>
      <c r="F674" s="618"/>
      <c r="G674" s="174"/>
      <c r="H674" s="181" t="s">
        <v>46</v>
      </c>
      <c r="I674" s="36"/>
      <c r="J674" s="182">
        <f ca="1">IFERROR(__xludf.DUMMYFUNCTION("IMPORTRANGE(""https://docs.google.com/spreadsheets/d/1kC41EOXpGBFOW658Fs3oD8beYlym0-zO54WY-2Qnp9I/edit?usp=share_link"",""กระบี่!J674"")
+IMPORTRANGE(""https://docs.google.com/spreadsheets/d/1FbzMZY_f3MDiEuK7RpCQKrilJ_kpX0Wm7QBZ1L7EjIU/edit?usp=share_link"&amp;""",""ชุมพร!J674"")+IMPORTRANGE(""https://docs.google.com/spreadsheets/d/1v5sN-00LrXuhBxw4dkh2GrG_z4l5oAqOdJRBCsUyMaM/edit?usp=share_link"",""ตรัง!J674"")+IMPORTRANGE(""https://docs.google.com/spreadsheets/d/1T5rRTzFc79aSIvqnzkZNvwPstq829QYz_xALlO1Z0s8/edi"&amp;"t?usp=share_link"",""นครศรีธรรมราช!J674"")+IMPORTRANGE(""https://docs.google.com/spreadsheets/d/1BeghqumK0IvCmRd2QOy6_afsZq7ZtAGrSnVJy2u7WmY/edit?usp=share_link"",""นราธิวาส!J674"")+IMPORTRANGE(""https://docs.google.com/spreadsheets/d/1IwnW3-jjRf74MCLW-6P"&amp;"iFwMUffRQXZwZA7YM609NmRc/edit?usp=share_link"",""ปัตตานี!J674"")+IMPORTRANGE(""https://docs.google.com/spreadsheets/d/1vl4QWbWdFruual5o_wdo6ZSqXZ_it806oja4CctTLKs/edit?usp=share_link"",""พังงา!J674"")+IMPORTRANGE(""https://docs.google.com/spreadsheets/d/1"&amp;"b6QssHQp2FoAPSMKHOy273KNzAomaIKhtdlvuZ_zDNE/edit?usp=share_link"",""พัทลุง!J674"")+IMPORTRANGE(""https://docs.google.com/spreadsheets/d/1o7UZe4_OqlqtLDHrj01Z2YFRSZDf1DMy1n3XViHaxRc/edit?usp=share_link"",""ภูเก็ต!J674"")+IMPORTRANGE(""https://docs.google.c"&amp;"om/spreadsheets/d/1ctPm1vUzcUCPuOj9-eoHUD85PqINFqUB0TjdSWmR5-c/edit?usp=share_link"",""ยะลา!J674"")+IMPORTRANGE(""https://docs.google.com/spreadsheets/d/1YiDIE7Klmt8osgdapRqYWNr7iPGFSsiJqq46S7PYRE0/edit?usp=share_link"",""ระนอง!J674"")+IMPORTRANGE(""https"&amp;"://docs.google.com/spreadsheets/d/16o_4B-V7AWw_6E93bSpXj_XxVv1oVQctk-B6z1dNEWU/edit?usp=share_link"",""สงขลา!J674"")+IMPORTRANGE(""https://docs.google.com/spreadsheets/d/16cywr71Fj4fA5OGRHsZh30ZG2gwJhMAQv69oVBzYHv0/edit?usp=share_link"",""สตูล!J674"")+IMP"&amp;"ORTRANGE(""https://docs.google.com/spreadsheets/d/1vO9Sws6kMtrVtyvrAJptINXjK8TFBoX9xLYOVK_C8bQ/edit?usp=share_link"",""สุราษฎร์ธานี!J674"")"),0)</f>
        <v>0</v>
      </c>
      <c r="K674" s="37">
        <f t="shared" ca="1" si="319"/>
        <v>0</v>
      </c>
      <c r="L674" s="162"/>
      <c r="M674" s="162"/>
      <c r="N674" s="162"/>
      <c r="O674" s="162"/>
      <c r="P674" s="162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20.25" customHeight="1">
      <c r="A675" s="607"/>
      <c r="B675" s="608"/>
      <c r="C675" s="608"/>
      <c r="D675" s="608"/>
      <c r="E675" s="186" t="s">
        <v>286</v>
      </c>
      <c r="F675" s="618"/>
      <c r="G675" s="174"/>
      <c r="H675" s="181" t="s">
        <v>46</v>
      </c>
      <c r="I675" s="36"/>
      <c r="J675" s="193">
        <f ca="1">J676+J677</f>
        <v>0</v>
      </c>
      <c r="K675" s="194">
        <f t="shared" ca="1" si="319"/>
        <v>0</v>
      </c>
      <c r="L675" s="162"/>
      <c r="M675" s="162"/>
      <c r="N675" s="162"/>
      <c r="O675" s="162"/>
      <c r="P675" s="162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20.25" customHeight="1">
      <c r="A676" s="607"/>
      <c r="B676" s="608"/>
      <c r="C676" s="608"/>
      <c r="D676" s="608"/>
      <c r="E676" s="618"/>
      <c r="F676" s="186" t="s">
        <v>287</v>
      </c>
      <c r="G676" s="174"/>
      <c r="H676" s="181" t="s">
        <v>46</v>
      </c>
      <c r="I676" s="36"/>
      <c r="J676" s="182">
        <f ca="1">IFERROR(__xludf.DUMMYFUNCTION("IMPORTRANGE(""https://docs.google.com/spreadsheets/d/1kC41EOXpGBFOW658Fs3oD8beYlym0-zO54WY-2Qnp9I/edit?usp=share_link"",""กระบี่!J676"")
+IMPORTRANGE(""https://docs.google.com/spreadsheets/d/1FbzMZY_f3MDiEuK7RpCQKrilJ_kpX0Wm7QBZ1L7EjIU/edit?usp=share_link"&amp;""",""ชุมพร!J676"")+IMPORTRANGE(""https://docs.google.com/spreadsheets/d/1v5sN-00LrXuhBxw4dkh2GrG_z4l5oAqOdJRBCsUyMaM/edit?usp=share_link"",""ตรัง!J676"")+IMPORTRANGE(""https://docs.google.com/spreadsheets/d/1T5rRTzFc79aSIvqnzkZNvwPstq829QYz_xALlO1Z0s8/edi"&amp;"t?usp=share_link"",""นครศรีธรรมราช!J676"")+IMPORTRANGE(""https://docs.google.com/spreadsheets/d/1BeghqumK0IvCmRd2QOy6_afsZq7ZtAGrSnVJy2u7WmY/edit?usp=share_link"",""นราธิวาส!J676"")+IMPORTRANGE(""https://docs.google.com/spreadsheets/d/1IwnW3-jjRf74MCLW-6P"&amp;"iFwMUffRQXZwZA7YM609NmRc/edit?usp=share_link"",""ปัตตานี!J676"")+IMPORTRANGE(""https://docs.google.com/spreadsheets/d/1vl4QWbWdFruual5o_wdo6ZSqXZ_it806oja4CctTLKs/edit?usp=share_link"",""พังงา!J676"")+IMPORTRANGE(""https://docs.google.com/spreadsheets/d/1"&amp;"b6QssHQp2FoAPSMKHOy273KNzAomaIKhtdlvuZ_zDNE/edit?usp=share_link"",""พัทลุง!J676"")+IMPORTRANGE(""https://docs.google.com/spreadsheets/d/1o7UZe4_OqlqtLDHrj01Z2YFRSZDf1DMy1n3XViHaxRc/edit?usp=share_link"",""ภูเก็ต!J676"")+IMPORTRANGE(""https://docs.google.c"&amp;"om/spreadsheets/d/1ctPm1vUzcUCPuOj9-eoHUD85PqINFqUB0TjdSWmR5-c/edit?usp=share_link"",""ยะลา!J676"")+IMPORTRANGE(""https://docs.google.com/spreadsheets/d/1YiDIE7Klmt8osgdapRqYWNr7iPGFSsiJqq46S7PYRE0/edit?usp=share_link"",""ระนอง!J676"")+IMPORTRANGE(""https"&amp;"://docs.google.com/spreadsheets/d/16o_4B-V7AWw_6E93bSpXj_XxVv1oVQctk-B6z1dNEWU/edit?usp=share_link"",""สงขลา!J676"")+IMPORTRANGE(""https://docs.google.com/spreadsheets/d/16cywr71Fj4fA5OGRHsZh30ZG2gwJhMAQv69oVBzYHv0/edit?usp=share_link"",""สตูล!J676"")+IMP"&amp;"ORTRANGE(""https://docs.google.com/spreadsheets/d/1vO9Sws6kMtrVtyvrAJptINXjK8TFBoX9xLYOVK_C8bQ/edit?usp=share_link"",""สุราษฎร์ธานี!J676"")"),0)</f>
        <v>0</v>
      </c>
      <c r="K676" s="37"/>
      <c r="L676" s="162"/>
      <c r="M676" s="162"/>
      <c r="N676" s="162"/>
      <c r="O676" s="162"/>
      <c r="P676" s="162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20.25" customHeight="1">
      <c r="A677" s="607"/>
      <c r="B677" s="608"/>
      <c r="C677" s="608"/>
      <c r="D677" s="608"/>
      <c r="E677" s="618"/>
      <c r="F677" s="186" t="s">
        <v>288</v>
      </c>
      <c r="G677" s="174"/>
      <c r="H677" s="181" t="s">
        <v>46</v>
      </c>
      <c r="I677" s="36"/>
      <c r="J677" s="182">
        <f ca="1">IFERROR(__xludf.DUMMYFUNCTION("IMPORTRANGE(""https://docs.google.com/spreadsheets/d/1kC41EOXpGBFOW658Fs3oD8beYlym0-zO54WY-2Qnp9I/edit?usp=share_link"",""กระบี่!J677"")
+IMPORTRANGE(""https://docs.google.com/spreadsheets/d/1FbzMZY_f3MDiEuK7RpCQKrilJ_kpX0Wm7QBZ1L7EjIU/edit?usp=share_link"&amp;""",""ชุมพร!J677"")+IMPORTRANGE(""https://docs.google.com/spreadsheets/d/1v5sN-00LrXuhBxw4dkh2GrG_z4l5oAqOdJRBCsUyMaM/edit?usp=share_link"",""ตรัง!J677"")+IMPORTRANGE(""https://docs.google.com/spreadsheets/d/1T5rRTzFc79aSIvqnzkZNvwPstq829QYz_xALlO1Z0s8/edi"&amp;"t?usp=share_link"",""นครศรีธรรมราช!J677"")+IMPORTRANGE(""https://docs.google.com/spreadsheets/d/1BeghqumK0IvCmRd2QOy6_afsZq7ZtAGrSnVJy2u7WmY/edit?usp=share_link"",""นราธิวาส!J677"")+IMPORTRANGE(""https://docs.google.com/spreadsheets/d/1IwnW3-jjRf74MCLW-6P"&amp;"iFwMUffRQXZwZA7YM609NmRc/edit?usp=share_link"",""ปัตตานี!J677"")+IMPORTRANGE(""https://docs.google.com/spreadsheets/d/1vl4QWbWdFruual5o_wdo6ZSqXZ_it806oja4CctTLKs/edit?usp=share_link"",""พังงา!J677"")+IMPORTRANGE(""https://docs.google.com/spreadsheets/d/1"&amp;"b6QssHQp2FoAPSMKHOy273KNzAomaIKhtdlvuZ_zDNE/edit?usp=share_link"",""พัทลุง!J677"")+IMPORTRANGE(""https://docs.google.com/spreadsheets/d/1o7UZe4_OqlqtLDHrj01Z2YFRSZDf1DMy1n3XViHaxRc/edit?usp=share_link"",""ภูเก็ต!J677"")+IMPORTRANGE(""https://docs.google.c"&amp;"om/spreadsheets/d/1ctPm1vUzcUCPuOj9-eoHUD85PqINFqUB0TjdSWmR5-c/edit?usp=share_link"",""ยะลา!J677"")+IMPORTRANGE(""https://docs.google.com/spreadsheets/d/1YiDIE7Klmt8osgdapRqYWNr7iPGFSsiJqq46S7PYRE0/edit?usp=share_link"",""ระนอง!J677"")+IMPORTRANGE(""https"&amp;"://docs.google.com/spreadsheets/d/16o_4B-V7AWw_6E93bSpXj_XxVv1oVQctk-B6z1dNEWU/edit?usp=share_link"",""สงขลา!J677"")+IMPORTRANGE(""https://docs.google.com/spreadsheets/d/16cywr71Fj4fA5OGRHsZh30ZG2gwJhMAQv69oVBzYHv0/edit?usp=share_link"",""สตูล!J677"")+IMP"&amp;"ORTRANGE(""https://docs.google.com/spreadsheets/d/1vO9Sws6kMtrVtyvrAJptINXjK8TFBoX9xLYOVK_C8bQ/edit?usp=share_link"",""สุราษฎร์ธานี!J677"")"),0)</f>
        <v>0</v>
      </c>
      <c r="K677" s="37"/>
      <c r="L677" s="162"/>
      <c r="M677" s="162"/>
      <c r="N677" s="162"/>
      <c r="O677" s="162"/>
      <c r="P677" s="162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20.25" customHeight="1">
      <c r="A678" s="607"/>
      <c r="B678" s="608"/>
      <c r="C678" s="608"/>
      <c r="D678" s="617" t="s">
        <v>289</v>
      </c>
      <c r="E678" s="618"/>
      <c r="F678" s="618"/>
      <c r="G678" s="174"/>
      <c r="H678" s="181" t="s">
        <v>46</v>
      </c>
      <c r="I678" s="193">
        <f ca="1">IFERROR(__xludf.DUMMYFUNCTION("IMPORTRANGE(""https://docs.google.com/spreadsheets/d/1kC41EOXpGBFOW658Fs3oD8beYlym0-zO54WY-2Qnp9I/edit?usp=share_link"",""กระบี่!I678"")
+IMPORTRANGE(""https://docs.google.com/spreadsheets/d/1FbzMZY_f3MDiEuK7RpCQKrilJ_kpX0Wm7QBZ1L7EjIU/edit?usp=share_link"&amp;""",""ชุมพร!I678"")+IMPORTRANGE(""https://docs.google.com/spreadsheets/d/1v5sN-00LrXuhBxw4dkh2GrG_z4l5oAqOdJRBCsUyMaM/edit?usp=share_link"",""ตรัง!I678"")+IMPORTRANGE(""https://docs.google.com/spreadsheets/d/1T5rRTzFc79aSIvqnzkZNvwPstq829QYz_xALlO1Z0s8/edi"&amp;"t?usp=share_link"",""นครศรีธรรมราช!I678"")+IMPORTRANGE(""https://docs.google.com/spreadsheets/d/1BeghqumK0IvCmRd2QOy6_afsZq7ZtAGrSnVJy2u7WmY/edit?usp=share_link"",""นราธิวาส!I678"")+IMPORTRANGE(""https://docs.google.com/spreadsheets/d/1IwnW3-jjRf74MCLW-6P"&amp;"iFwMUffRQXZwZA7YM609NmRc/edit?usp=share_link"",""ปัตตานี!I678"")+IMPORTRANGE(""https://docs.google.com/spreadsheets/d/1vl4QWbWdFruual5o_wdo6ZSqXZ_it806oja4CctTLKs/edit?usp=share_link"",""พังงา!I678"")+IMPORTRANGE(""https://docs.google.com/spreadsheets/d/1"&amp;"b6QssHQp2FoAPSMKHOy273KNzAomaIKhtdlvuZ_zDNE/edit?usp=share_link"",""พัทลุง!I678"")+IMPORTRANGE(""https://docs.google.com/spreadsheets/d/1o7UZe4_OqlqtLDHrj01Z2YFRSZDf1DMy1n3XViHaxRc/edit?usp=share_link"",""ภูเก็ต!I678"")+IMPORTRANGE(""https://docs.google.c"&amp;"om/spreadsheets/d/1ctPm1vUzcUCPuOj9-eoHUD85PqINFqUB0TjdSWmR5-c/edit?usp=share_link"",""ยะลา!I678"")+IMPORTRANGE(""https://docs.google.com/spreadsheets/d/1YiDIE7Klmt8osgdapRqYWNr7iPGFSsiJqq46S7PYRE0/edit?usp=share_link"",""ระนอง!I678"")+IMPORTRANGE(""https"&amp;"://docs.google.com/spreadsheets/d/16o_4B-V7AWw_6E93bSpXj_XxVv1oVQctk-B6z1dNEWU/edit?usp=share_link"",""สงขลา!I678"")+IMPORTRANGE(""https://docs.google.com/spreadsheets/d/16cywr71Fj4fA5OGRHsZh30ZG2gwJhMAQv69oVBzYHv0/edit?usp=share_link"",""สตูล!I678"")+IMP"&amp;"ORTRANGE(""https://docs.google.com/spreadsheets/d/1vO9Sws6kMtrVtyvrAJptINXjK8TFBoX9xLYOVK_C8bQ/edit?usp=share_link"",""สุราษฎร์ธานี!I678"")"),0)</f>
        <v>0</v>
      </c>
      <c r="J678" s="193">
        <f ca="1">J679</f>
        <v>168.76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20.25" customHeight="1">
      <c r="A679" s="607"/>
      <c r="B679" s="608"/>
      <c r="C679" s="608"/>
      <c r="D679" s="608"/>
      <c r="E679" s="186" t="s">
        <v>290</v>
      </c>
      <c r="F679" s="618"/>
      <c r="G679" s="174"/>
      <c r="H679" s="181" t="s">
        <v>46</v>
      </c>
      <c r="I679" s="36"/>
      <c r="J679" s="36">
        <f ca="1">J680+J681</f>
        <v>168.76</v>
      </c>
      <c r="K679" s="37"/>
      <c r="L679" s="162"/>
      <c r="M679" s="162"/>
      <c r="N679" s="162"/>
      <c r="O679" s="162"/>
      <c r="P679" s="162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20.25" customHeight="1">
      <c r="A680" s="607"/>
      <c r="B680" s="608"/>
      <c r="C680" s="608"/>
      <c r="D680" s="608"/>
      <c r="E680" s="618"/>
      <c r="F680" s="186" t="s">
        <v>287</v>
      </c>
      <c r="G680" s="174"/>
      <c r="H680" s="181" t="s">
        <v>46</v>
      </c>
      <c r="I680" s="36"/>
      <c r="J680" s="182">
        <f ca="1">IFERROR(__xludf.DUMMYFUNCTION("IMPORTRANGE(""https://docs.google.com/spreadsheets/d/1kC41EOXpGBFOW658Fs3oD8beYlym0-zO54WY-2Qnp9I/edit?usp=share_link"",""กระบี่!J680"")
+IMPORTRANGE(""https://docs.google.com/spreadsheets/d/1FbzMZY_f3MDiEuK7RpCQKrilJ_kpX0Wm7QBZ1L7EjIU/edit?usp=share_link"&amp;""",""ชุมพร!J680"")+IMPORTRANGE(""https://docs.google.com/spreadsheets/d/1v5sN-00LrXuhBxw4dkh2GrG_z4l5oAqOdJRBCsUyMaM/edit?usp=share_link"",""ตรัง!J680"")+IMPORTRANGE(""https://docs.google.com/spreadsheets/d/1T5rRTzFc79aSIvqnzkZNvwPstq829QYz_xALlO1Z0s8/edi"&amp;"t?usp=share_link"",""นครศรีธรรมราช!J680"")+IMPORTRANGE(""https://docs.google.com/spreadsheets/d/1BeghqumK0IvCmRd2QOy6_afsZq7ZtAGrSnVJy2u7WmY/edit?usp=share_link"",""นราธิวาส!J680"")+IMPORTRANGE(""https://docs.google.com/spreadsheets/d/1IwnW3-jjRf74MCLW-6P"&amp;"iFwMUffRQXZwZA7YM609NmRc/edit?usp=share_link"",""ปัตตานี!J680"")+IMPORTRANGE(""https://docs.google.com/spreadsheets/d/1vl4QWbWdFruual5o_wdo6ZSqXZ_it806oja4CctTLKs/edit?usp=share_link"",""พังงา!J680"")+IMPORTRANGE(""https://docs.google.com/spreadsheets/d/1"&amp;"b6QssHQp2FoAPSMKHOy273KNzAomaIKhtdlvuZ_zDNE/edit?usp=share_link"",""พัทลุง!J680"")+IMPORTRANGE(""https://docs.google.com/spreadsheets/d/1o7UZe4_OqlqtLDHrj01Z2YFRSZDf1DMy1n3XViHaxRc/edit?usp=share_link"",""ภูเก็ต!J680"")+IMPORTRANGE(""https://docs.google.c"&amp;"om/spreadsheets/d/1ctPm1vUzcUCPuOj9-eoHUD85PqINFqUB0TjdSWmR5-c/edit?usp=share_link"",""ยะลา!J680"")+IMPORTRANGE(""https://docs.google.com/spreadsheets/d/1YiDIE7Klmt8osgdapRqYWNr7iPGFSsiJqq46S7PYRE0/edit?usp=share_link"",""ระนอง!J680"")+IMPORTRANGE(""https"&amp;"://docs.google.com/spreadsheets/d/16o_4B-V7AWw_6E93bSpXj_XxVv1oVQctk-B6z1dNEWU/edit?usp=share_link"",""สงขลา!J680"")+IMPORTRANGE(""https://docs.google.com/spreadsheets/d/16cywr71Fj4fA5OGRHsZh30ZG2gwJhMAQv69oVBzYHv0/edit?usp=share_link"",""สตูล!J680"")+IMP"&amp;"ORTRANGE(""https://docs.google.com/spreadsheets/d/1vO9Sws6kMtrVtyvrAJptINXjK8TFBoX9xLYOVK_C8bQ/edit?usp=share_link"",""สุราษฎร์ธานี!J680"")"),31.56)</f>
        <v>31.56</v>
      </c>
      <c r="K680" s="37"/>
      <c r="L680" s="162"/>
      <c r="M680" s="162"/>
      <c r="N680" s="162"/>
      <c r="O680" s="162"/>
      <c r="P680" s="162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20.25" customHeight="1">
      <c r="A681" s="607"/>
      <c r="B681" s="608"/>
      <c r="C681" s="608"/>
      <c r="D681" s="608"/>
      <c r="E681" s="618"/>
      <c r="F681" s="186" t="s">
        <v>288</v>
      </c>
      <c r="G681" s="174"/>
      <c r="H681" s="181" t="s">
        <v>46</v>
      </c>
      <c r="I681" s="36"/>
      <c r="J681" s="182">
        <f ca="1">IFERROR(__xludf.DUMMYFUNCTION("IMPORTRANGE(""https://docs.google.com/spreadsheets/d/1kC41EOXpGBFOW658Fs3oD8beYlym0-zO54WY-2Qnp9I/edit?usp=share_link"",""กระบี่!J681"")
+IMPORTRANGE(""https://docs.google.com/spreadsheets/d/1FbzMZY_f3MDiEuK7RpCQKrilJ_kpX0Wm7QBZ1L7EjIU/edit?usp=share_link"&amp;""",""ชุมพร!J681"")+IMPORTRANGE(""https://docs.google.com/spreadsheets/d/1v5sN-00LrXuhBxw4dkh2GrG_z4l5oAqOdJRBCsUyMaM/edit?usp=share_link"",""ตรัง!J681"")+IMPORTRANGE(""https://docs.google.com/spreadsheets/d/1T5rRTzFc79aSIvqnzkZNvwPstq829QYz_xALlO1Z0s8/edi"&amp;"t?usp=share_link"",""นครศรีธรรมราช!J681"")+IMPORTRANGE(""https://docs.google.com/spreadsheets/d/1BeghqumK0IvCmRd2QOy6_afsZq7ZtAGrSnVJy2u7WmY/edit?usp=share_link"",""นราธิวาส!J681"")+IMPORTRANGE(""https://docs.google.com/spreadsheets/d/1IwnW3-jjRf74MCLW-6P"&amp;"iFwMUffRQXZwZA7YM609NmRc/edit?usp=share_link"",""ปัตตานี!J681"")+IMPORTRANGE(""https://docs.google.com/spreadsheets/d/1vl4QWbWdFruual5o_wdo6ZSqXZ_it806oja4CctTLKs/edit?usp=share_link"",""พังงา!J681"")+IMPORTRANGE(""https://docs.google.com/spreadsheets/d/1"&amp;"b6QssHQp2FoAPSMKHOy273KNzAomaIKhtdlvuZ_zDNE/edit?usp=share_link"",""พัทลุง!J681"")+IMPORTRANGE(""https://docs.google.com/spreadsheets/d/1o7UZe4_OqlqtLDHrj01Z2YFRSZDf1DMy1n3XViHaxRc/edit?usp=share_link"",""ภูเก็ต!J681"")+IMPORTRANGE(""https://docs.google.c"&amp;"om/spreadsheets/d/1ctPm1vUzcUCPuOj9-eoHUD85PqINFqUB0TjdSWmR5-c/edit?usp=share_link"",""ยะลา!J681"")+IMPORTRANGE(""https://docs.google.com/spreadsheets/d/1YiDIE7Klmt8osgdapRqYWNr7iPGFSsiJqq46S7PYRE0/edit?usp=share_link"",""ระนอง!J681"")+IMPORTRANGE(""https"&amp;"://docs.google.com/spreadsheets/d/16o_4B-V7AWw_6E93bSpXj_XxVv1oVQctk-B6z1dNEWU/edit?usp=share_link"",""สงขลา!J681"")+IMPORTRANGE(""https://docs.google.com/spreadsheets/d/16cywr71Fj4fA5OGRHsZh30ZG2gwJhMAQv69oVBzYHv0/edit?usp=share_link"",""สตูล!J681"")+IMP"&amp;"ORTRANGE(""https://docs.google.com/spreadsheets/d/1vO9Sws6kMtrVtyvrAJptINXjK8TFBoX9xLYOVK_C8bQ/edit?usp=share_link"",""สุราษฎร์ธานี!J681"")"),137.2)</f>
        <v>137.19999999999999</v>
      </c>
      <c r="K681" s="37"/>
      <c r="L681" s="162"/>
      <c r="M681" s="162"/>
      <c r="N681" s="162"/>
      <c r="O681" s="162"/>
      <c r="P681" s="162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20.25" customHeight="1">
      <c r="A682" s="607"/>
      <c r="B682" s="608"/>
      <c r="C682" s="608"/>
      <c r="D682" s="608"/>
      <c r="E682" s="186" t="s">
        <v>291</v>
      </c>
      <c r="F682" s="618"/>
      <c r="G682" s="174"/>
      <c r="H682" s="181" t="s">
        <v>46</v>
      </c>
      <c r="I682" s="36"/>
      <c r="J682" s="182">
        <f ca="1">IFERROR(__xludf.DUMMYFUNCTION("IMPORTRANGE(""https://docs.google.com/spreadsheets/d/1kC41EOXpGBFOW658Fs3oD8beYlym0-zO54WY-2Qnp9I/edit?usp=share_link"",""กระบี่!J682"")
+IMPORTRANGE(""https://docs.google.com/spreadsheets/d/1FbzMZY_f3MDiEuK7RpCQKrilJ_kpX0Wm7QBZ1L7EjIU/edit?usp=share_link"&amp;""",""ชุมพร!J682"")+IMPORTRANGE(""https://docs.google.com/spreadsheets/d/1v5sN-00LrXuhBxw4dkh2GrG_z4l5oAqOdJRBCsUyMaM/edit?usp=share_link"",""ตรัง!J682"")+IMPORTRANGE(""https://docs.google.com/spreadsheets/d/1T5rRTzFc79aSIvqnzkZNvwPstq829QYz_xALlO1Z0s8/edi"&amp;"t?usp=share_link"",""นครศรีธรรมราช!J682"")+IMPORTRANGE(""https://docs.google.com/spreadsheets/d/1BeghqumK0IvCmRd2QOy6_afsZq7ZtAGrSnVJy2u7WmY/edit?usp=share_link"",""นราธิวาส!J682"")+IMPORTRANGE(""https://docs.google.com/spreadsheets/d/1IwnW3-jjRf74MCLW-6P"&amp;"iFwMUffRQXZwZA7YM609NmRc/edit?usp=share_link"",""ปัตตานี!J682"")+IMPORTRANGE(""https://docs.google.com/spreadsheets/d/1vl4QWbWdFruual5o_wdo6ZSqXZ_it806oja4CctTLKs/edit?usp=share_link"",""พังงา!J682"")+IMPORTRANGE(""https://docs.google.com/spreadsheets/d/1"&amp;"b6QssHQp2FoAPSMKHOy273KNzAomaIKhtdlvuZ_zDNE/edit?usp=share_link"",""พัทลุง!J682"")+IMPORTRANGE(""https://docs.google.com/spreadsheets/d/1o7UZe4_OqlqtLDHrj01Z2YFRSZDf1DMy1n3XViHaxRc/edit?usp=share_link"",""ภูเก็ต!J682"")+IMPORTRANGE(""https://docs.google.c"&amp;"om/spreadsheets/d/1ctPm1vUzcUCPuOj9-eoHUD85PqINFqUB0TjdSWmR5-c/edit?usp=share_link"",""ยะลา!J682"")+IMPORTRANGE(""https://docs.google.com/spreadsheets/d/1YiDIE7Klmt8osgdapRqYWNr7iPGFSsiJqq46S7PYRE0/edit?usp=share_link"",""ระนอง!J682"")+IMPORTRANGE(""https"&amp;"://docs.google.com/spreadsheets/d/16o_4B-V7AWw_6E93bSpXj_XxVv1oVQctk-B6z1dNEWU/edit?usp=share_link"",""สงขลา!J682"")+IMPORTRANGE(""https://docs.google.com/spreadsheets/d/16cywr71Fj4fA5OGRHsZh30ZG2gwJhMAQv69oVBzYHv0/edit?usp=share_link"",""สตูล!J682"")+IMP"&amp;"ORTRANGE(""https://docs.google.com/spreadsheets/d/1vO9Sws6kMtrVtyvrAJptINXjK8TFBoX9xLYOVK_C8bQ/edit?usp=share_link"",""สุราษฎร์ธานี!J682"")"),0)</f>
        <v>0</v>
      </c>
      <c r="K682" s="37"/>
      <c r="L682" s="162"/>
      <c r="M682" s="162"/>
      <c r="N682" s="162"/>
      <c r="O682" s="162"/>
      <c r="P682" s="162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20.25" customHeight="1">
      <c r="A683" s="607"/>
      <c r="B683" s="608"/>
      <c r="C683" s="608"/>
      <c r="D683" s="608"/>
      <c r="E683" s="618"/>
      <c r="F683" s="186" t="s">
        <v>292</v>
      </c>
      <c r="G683" s="174"/>
      <c r="H683" s="181" t="s">
        <v>46</v>
      </c>
      <c r="I683" s="36"/>
      <c r="J683" s="182">
        <f ca="1">IFERROR(__xludf.DUMMYFUNCTION("IMPORTRANGE(""https://docs.google.com/spreadsheets/d/1kC41EOXpGBFOW658Fs3oD8beYlym0-zO54WY-2Qnp9I/edit?usp=share_link"",""กระบี่!J683"")
+IMPORTRANGE(""https://docs.google.com/spreadsheets/d/1FbzMZY_f3MDiEuK7RpCQKrilJ_kpX0Wm7QBZ1L7EjIU/edit?usp=share_link"&amp;""",""ชุมพร!J683"")+IMPORTRANGE(""https://docs.google.com/spreadsheets/d/1v5sN-00LrXuhBxw4dkh2GrG_z4l5oAqOdJRBCsUyMaM/edit?usp=share_link"",""ตรัง!J683"")+IMPORTRANGE(""https://docs.google.com/spreadsheets/d/1T5rRTzFc79aSIvqnzkZNvwPstq829QYz_xALlO1Z0s8/edi"&amp;"t?usp=share_link"",""นครศรีธรรมราช!J683"")+IMPORTRANGE(""https://docs.google.com/spreadsheets/d/1BeghqumK0IvCmRd2QOy6_afsZq7ZtAGrSnVJy2u7WmY/edit?usp=share_link"",""นราธิวาส!J683"")+IMPORTRANGE(""https://docs.google.com/spreadsheets/d/1IwnW3-jjRf74MCLW-6P"&amp;"iFwMUffRQXZwZA7YM609NmRc/edit?usp=share_link"",""ปัตตานี!J683"")+IMPORTRANGE(""https://docs.google.com/spreadsheets/d/1vl4QWbWdFruual5o_wdo6ZSqXZ_it806oja4CctTLKs/edit?usp=share_link"",""พังงา!J683"")+IMPORTRANGE(""https://docs.google.com/spreadsheets/d/1"&amp;"b6QssHQp2FoAPSMKHOy273KNzAomaIKhtdlvuZ_zDNE/edit?usp=share_link"",""พัทลุง!J683"")+IMPORTRANGE(""https://docs.google.com/spreadsheets/d/1o7UZe4_OqlqtLDHrj01Z2YFRSZDf1DMy1n3XViHaxRc/edit?usp=share_link"",""ภูเก็ต!J683"")+IMPORTRANGE(""https://docs.google.c"&amp;"om/spreadsheets/d/1ctPm1vUzcUCPuOj9-eoHUD85PqINFqUB0TjdSWmR5-c/edit?usp=share_link"",""ยะลา!J683"")+IMPORTRANGE(""https://docs.google.com/spreadsheets/d/1YiDIE7Klmt8osgdapRqYWNr7iPGFSsiJqq46S7PYRE0/edit?usp=share_link"",""ระนอง!J683"")+IMPORTRANGE(""https"&amp;"://docs.google.com/spreadsheets/d/16o_4B-V7AWw_6E93bSpXj_XxVv1oVQctk-B6z1dNEWU/edit?usp=share_link"",""สงขลา!J683"")+IMPORTRANGE(""https://docs.google.com/spreadsheets/d/16cywr71Fj4fA5OGRHsZh30ZG2gwJhMAQv69oVBzYHv0/edit?usp=share_link"",""สตูล!J683"")+IMP"&amp;"ORTRANGE(""https://docs.google.com/spreadsheets/d/1vO9Sws6kMtrVtyvrAJptINXjK8TFBoX9xLYOVK_C8bQ/edit?usp=share_link"",""สุราษฎร์ธานี!J683"")"),0)</f>
        <v>0</v>
      </c>
      <c r="K683" s="37"/>
      <c r="L683" s="162"/>
      <c r="M683" s="162"/>
      <c r="N683" s="162"/>
      <c r="O683" s="162"/>
      <c r="P683" s="162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20.25" customHeight="1">
      <c r="A684" s="752"/>
      <c r="B684" s="753" t="s">
        <v>293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20.25" customHeight="1">
      <c r="A685" s="596"/>
      <c r="B685" s="575"/>
      <c r="C685" s="575" t="s">
        <v>16</v>
      </c>
      <c r="D685" s="887" t="s">
        <v>17</v>
      </c>
      <c r="E685" s="888"/>
      <c r="F685" s="888"/>
      <c r="G685" s="188"/>
      <c r="H685" s="597" t="s">
        <v>12</v>
      </c>
      <c r="I685" s="36"/>
      <c r="J685" s="36"/>
      <c r="K685" s="37"/>
      <c r="L685" s="194">
        <f t="shared" ref="L685:N685" ca="1" si="320">L686+L687</f>
        <v>63040</v>
      </c>
      <c r="M685" s="194">
        <f t="shared" ca="1" si="320"/>
        <v>55840</v>
      </c>
      <c r="N685" s="194">
        <f t="shared" ca="1" si="320"/>
        <v>55840</v>
      </c>
      <c r="O685" s="194">
        <f t="shared" ref="O685:O688" ca="1" si="321">IF(L685&gt;0,N685*100/L685,0)</f>
        <v>88.578680203045678</v>
      </c>
      <c r="P685" s="194">
        <f t="shared" ref="P685:P688" ca="1" si="322">IF(M685&gt;0,N685*100/M685,0)</f>
        <v>100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20.25" hidden="1" customHeight="1">
      <c r="A686" s="598"/>
      <c r="B686" s="599"/>
      <c r="C686" s="599"/>
      <c r="D686" s="600"/>
      <c r="E686" s="601" t="s">
        <v>184</v>
      </c>
      <c r="F686" s="599"/>
      <c r="G686" s="602"/>
      <c r="H686" s="164" t="s">
        <v>12</v>
      </c>
      <c r="I686" s="43"/>
      <c r="J686" s="43"/>
      <c r="K686" s="44"/>
      <c r="L686" s="44">
        <f t="shared" ref="L686:N686" si="323">L689+L696</f>
        <v>0</v>
      </c>
      <c r="M686" s="44">
        <f t="shared" si="323"/>
        <v>0</v>
      </c>
      <c r="N686" s="44">
        <f t="shared" si="323"/>
        <v>0</v>
      </c>
      <c r="O686" s="44">
        <f t="shared" si="321"/>
        <v>0</v>
      </c>
      <c r="P686" s="44">
        <f t="shared" si="322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20.25" hidden="1" customHeight="1">
      <c r="A687" s="598"/>
      <c r="B687" s="604"/>
      <c r="C687" s="599"/>
      <c r="D687" s="600"/>
      <c r="E687" s="601" t="s">
        <v>185</v>
      </c>
      <c r="F687" s="599"/>
      <c r="G687" s="602"/>
      <c r="H687" s="164" t="s">
        <v>12</v>
      </c>
      <c r="I687" s="43"/>
      <c r="J687" s="43"/>
      <c r="K687" s="44"/>
      <c r="L687" s="44">
        <f t="shared" ref="L687:N687" ca="1" si="324">L690+L697</f>
        <v>63040</v>
      </c>
      <c r="M687" s="44">
        <f t="shared" ca="1" si="324"/>
        <v>55840</v>
      </c>
      <c r="N687" s="44">
        <f t="shared" ca="1" si="324"/>
        <v>55840</v>
      </c>
      <c r="O687" s="44">
        <f t="shared" ca="1" si="321"/>
        <v>88.578680203045678</v>
      </c>
      <c r="P687" s="44">
        <f t="shared" ca="1" si="322"/>
        <v>100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20.25" customHeight="1">
      <c r="A688" s="596"/>
      <c r="B688" s="574"/>
      <c r="C688" s="575"/>
      <c r="D688" s="605" t="s">
        <v>20</v>
      </c>
      <c r="E688" s="575"/>
      <c r="F688" s="575"/>
      <c r="G688" s="188"/>
      <c r="H688" s="160" t="s">
        <v>12</v>
      </c>
      <c r="I688" s="161"/>
      <c r="J688" s="161"/>
      <c r="K688" s="162"/>
      <c r="L688" s="37">
        <f t="shared" ref="L688:N688" ca="1" si="325">L689+L690</f>
        <v>63040</v>
      </c>
      <c r="M688" s="37">
        <f t="shared" ca="1" si="325"/>
        <v>55840</v>
      </c>
      <c r="N688" s="37">
        <f t="shared" ca="1" si="325"/>
        <v>55840</v>
      </c>
      <c r="O688" s="37">
        <f t="shared" ca="1" si="321"/>
        <v>88.578680203045678</v>
      </c>
      <c r="P688" s="37">
        <f t="shared" ca="1" si="322"/>
        <v>100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20.25" hidden="1" customHeight="1">
      <c r="A689" s="598"/>
      <c r="B689" s="604"/>
      <c r="C689" s="599"/>
      <c r="D689" s="600"/>
      <c r="E689" s="601" t="s">
        <v>184</v>
      </c>
      <c r="F689" s="599"/>
      <c r="G689" s="602"/>
      <c r="H689" s="164" t="s">
        <v>12</v>
      </c>
      <c r="I689" s="43"/>
      <c r="J689" s="43"/>
      <c r="K689" s="44"/>
      <c r="L689" s="92">
        <v>0</v>
      </c>
      <c r="M689" s="92">
        <v>0</v>
      </c>
      <c r="N689" s="92">
        <v>0</v>
      </c>
      <c r="O689" s="44"/>
      <c r="P689" s="44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20.25" hidden="1" customHeight="1">
      <c r="A690" s="598"/>
      <c r="B690" s="604"/>
      <c r="C690" s="599"/>
      <c r="D690" s="600"/>
      <c r="E690" s="601" t="s">
        <v>185</v>
      </c>
      <c r="F690" s="599"/>
      <c r="G690" s="602"/>
      <c r="H690" s="164" t="s">
        <v>12</v>
      </c>
      <c r="I690" s="43"/>
      <c r="J690" s="43"/>
      <c r="K690" s="44"/>
      <c r="L690" s="44">
        <f ca="1">IFERROR(__xludf.DUMMYFUNCTION("IMPORTRANGE(""https://docs.google.com/spreadsheets/d/1kC41EOXpGBFOW658Fs3oD8beYlym0-zO54WY-2Qnp9I/edit?usp=share_link"",""กระบี่!L690"")
+IMPORTRANGE(""https://docs.google.com/spreadsheets/d/1FbzMZY_f3MDiEuK7RpCQKrilJ_kpX0Wm7QBZ1L7EjIU/edit?usp=share_link"&amp;""",""ชุมพร!L690"")+IMPORTRANGE(""https://docs.google.com/spreadsheets/d/1v5sN-00LrXuhBxw4dkh2GrG_z4l5oAqOdJRBCsUyMaM/edit?usp=share_link"",""ตรัง!L690"")+IMPORTRANGE(""https://docs.google.com/spreadsheets/d/1T5rRTzFc79aSIvqnzkZNvwPstq829QYz_xALlO1Z0s8/edi"&amp;"t?usp=share_link"",""นครศรีธรรมราช!L690"")+IMPORTRANGE(""https://docs.google.com/spreadsheets/d/1BeghqumK0IvCmRd2QOy6_afsZq7ZtAGrSnVJy2u7WmY/edit?usp=share_link"",""นราธิวาส!L690"")+IMPORTRANGE(""https://docs.google.com/spreadsheets/d/1IwnW3-jjRf74MCLW-6P"&amp;"iFwMUffRQXZwZA7YM609NmRc/edit?usp=share_link"",""ปัตตานี!L690"")+IMPORTRANGE(""https://docs.google.com/spreadsheets/d/1vl4QWbWdFruual5o_wdo6ZSqXZ_it806oja4CctTLKs/edit?usp=share_link"",""พังงา!L690"")+IMPORTRANGE(""https://docs.google.com/spreadsheets/d/1"&amp;"b6QssHQp2FoAPSMKHOy273KNzAomaIKhtdlvuZ_zDNE/edit?usp=share_link"",""พัทลุง!L690"")+IMPORTRANGE(""https://docs.google.com/spreadsheets/d/1o7UZe4_OqlqtLDHrj01Z2YFRSZDf1DMy1n3XViHaxRc/edit?usp=share_link"",""ภูเก็ต!L690"")+IMPORTRANGE(""https://docs.google.c"&amp;"om/spreadsheets/d/1ctPm1vUzcUCPuOj9-eoHUD85PqINFqUB0TjdSWmR5-c/edit?usp=share_link"",""ยะลา!L690"")+IMPORTRANGE(""https://docs.google.com/spreadsheets/d/1YiDIE7Klmt8osgdapRqYWNr7iPGFSsiJqq46S7PYRE0/edit?usp=share_link"",""ระนอง!L690"")+IMPORTRANGE(""https"&amp;"://docs.google.com/spreadsheets/d/16o_4B-V7AWw_6E93bSpXj_XxVv1oVQctk-B6z1dNEWU/edit?usp=share_link"",""สงขลา!L690"")+IMPORTRANGE(""https://docs.google.com/spreadsheets/d/16cywr71Fj4fA5OGRHsZh30ZG2gwJhMAQv69oVBzYHv0/edit?usp=share_link"",""สตูล!L690"")+IMP"&amp;"ORTRANGE(""https://docs.google.com/spreadsheets/d/1vO9Sws6kMtrVtyvrAJptINXjK8TFBoX9xLYOVK_C8bQ/edit?usp=share_link"",""สุราษฎร์ธานี!L690"")"),63040)</f>
        <v>63040</v>
      </c>
      <c r="M690" s="92">
        <f ca="1">IFERROR(__xludf.DUMMYFUNCTION("IMPORTRANGE(""https://docs.google.com/spreadsheets/d/1kC41EOXpGBFOW658Fs3oD8beYlym0-zO54WY-2Qnp9I/edit?usp=share_link"",""กระบี่!M690"")
+IMPORTRANGE(""https://docs.google.com/spreadsheets/d/1FbzMZY_f3MDiEuK7RpCQKrilJ_kpX0Wm7QBZ1L7EjIU/edit?usp=share_link"&amp;""",""ชุมพร!M690"")+IMPORTRANGE(""https://docs.google.com/spreadsheets/d/1v5sN-00LrXuhBxw4dkh2GrG_z4l5oAqOdJRBCsUyMaM/edit?usp=share_link"",""ตรัง!M690"")+IMPORTRANGE(""https://docs.google.com/spreadsheets/d/1T5rRTzFc79aSIvqnzkZNvwPstq829QYz_xALlO1Z0s8/edi"&amp;"t?usp=share_link"",""นครศรีธรรมราช!M690"")+IMPORTRANGE(""https://docs.google.com/spreadsheets/d/1BeghqumK0IvCmRd2QOy6_afsZq7ZtAGrSnVJy2u7WmY/edit?usp=share_link"",""นราธิวาส!M690"")+IMPORTRANGE(""https://docs.google.com/spreadsheets/d/1IwnW3-jjRf74MCLW-6P"&amp;"iFwMUffRQXZwZA7YM609NmRc/edit?usp=share_link"",""ปัตตานี!M690"")+IMPORTRANGE(""https://docs.google.com/spreadsheets/d/1vl4QWbWdFruual5o_wdo6ZSqXZ_it806oja4CctTLKs/edit?usp=share_link"",""พังงา!M690"")+IMPORTRANGE(""https://docs.google.com/spreadsheets/d/1"&amp;"b6QssHQp2FoAPSMKHOy273KNzAomaIKhtdlvuZ_zDNE/edit?usp=share_link"",""พัทลุง!M690"")+IMPORTRANGE(""https://docs.google.com/spreadsheets/d/1o7UZe4_OqlqtLDHrj01Z2YFRSZDf1DMy1n3XViHaxRc/edit?usp=share_link"",""ภูเก็ต!M690"")+IMPORTRANGE(""https://docs.google.c"&amp;"om/spreadsheets/d/1ctPm1vUzcUCPuOj9-eoHUD85PqINFqUB0TjdSWmR5-c/edit?usp=share_link"",""ยะลา!M690"")+IMPORTRANGE(""https://docs.google.com/spreadsheets/d/1YiDIE7Klmt8osgdapRqYWNr7iPGFSsiJqq46S7PYRE0/edit?usp=share_link"",""ระนอง!M690"")+IMPORTRANGE(""https"&amp;"://docs.google.com/spreadsheets/d/16o_4B-V7AWw_6E93bSpXj_XxVv1oVQctk-B6z1dNEWU/edit?usp=share_link"",""สงขลา!M690"")+IMPORTRANGE(""https://docs.google.com/spreadsheets/d/16cywr71Fj4fA5OGRHsZh30ZG2gwJhMAQv69oVBzYHv0/edit?usp=share_link"",""สตูล!M690"")+IMP"&amp;"ORTRANGE(""https://docs.google.com/spreadsheets/d/1vO9Sws6kMtrVtyvrAJptINXjK8TFBoX9xLYOVK_C8bQ/edit?usp=share_link"",""สุราษฎร์ธานี!M690"")"),55840)</f>
        <v>55840</v>
      </c>
      <c r="N690" s="44">
        <f ca="1">N691+N692+N693+N694</f>
        <v>55840</v>
      </c>
      <c r="O690" s="44">
        <f ca="1">IF(L690&gt;0,N690*100/L690,0)</f>
        <v>88.578680203045678</v>
      </c>
      <c r="P690" s="44">
        <f ca="1">IF(M690&gt;0,N690*100/M690,0)</f>
        <v>100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20.25" customHeight="1">
      <c r="A691" s="573"/>
      <c r="B691" s="574"/>
      <c r="C691" s="575"/>
      <c r="D691" s="575"/>
      <c r="E691" s="575"/>
      <c r="F691" s="576" t="s">
        <v>186</v>
      </c>
      <c r="G691" s="188"/>
      <c r="H691" s="160" t="s">
        <v>12</v>
      </c>
      <c r="I691" s="36"/>
      <c r="J691" s="36"/>
      <c r="K691" s="37"/>
      <c r="L691" s="37"/>
      <c r="M691" s="37"/>
      <c r="N691" s="282">
        <f ca="1">IFERROR(__xludf.DUMMYFUNCTION("IMPORTRANGE(""https://docs.google.com/spreadsheets/d/1kC41EOXpGBFOW658Fs3oD8beYlym0-zO54WY-2Qnp9I/edit?usp=share_link"",""กระบี่!N691"")
+IMPORTRANGE(""https://docs.google.com/spreadsheets/d/1FbzMZY_f3MDiEuK7RpCQKrilJ_kpX0Wm7QBZ1L7EjIU/edit?usp=share_link"&amp;""",""ชุมพร!N691"")+IMPORTRANGE(""https://docs.google.com/spreadsheets/d/1v5sN-00LrXuhBxw4dkh2GrG_z4l5oAqOdJRBCsUyMaM/edit?usp=share_link"",""ตรัง!N691"")+IMPORTRANGE(""https://docs.google.com/spreadsheets/d/1T5rRTzFc79aSIvqnzkZNvwPstq829QYz_xALlO1Z0s8/edi"&amp;"t?usp=share_link"",""นครศรีธรรมราช!N691"")+IMPORTRANGE(""https://docs.google.com/spreadsheets/d/1BeghqumK0IvCmRd2QOy6_afsZq7ZtAGrSnVJy2u7WmY/edit?usp=share_link"",""นราธิวาส!N691"")+IMPORTRANGE(""https://docs.google.com/spreadsheets/d/1IwnW3-jjRf74MCLW-6P"&amp;"iFwMUffRQXZwZA7YM609NmRc/edit?usp=share_link"",""ปัตตานี!N691"")+IMPORTRANGE(""https://docs.google.com/spreadsheets/d/1vl4QWbWdFruual5o_wdo6ZSqXZ_it806oja4CctTLKs/edit?usp=share_link"",""พังงา!N691"")+IMPORTRANGE(""https://docs.google.com/spreadsheets/d/1"&amp;"b6QssHQp2FoAPSMKHOy273KNzAomaIKhtdlvuZ_zDNE/edit?usp=share_link"",""พัทลุง!N691"")+IMPORTRANGE(""https://docs.google.com/spreadsheets/d/1o7UZe4_OqlqtLDHrj01Z2YFRSZDf1DMy1n3XViHaxRc/edit?usp=share_link"",""ภูเก็ต!N691"")+IMPORTRANGE(""https://docs.google.c"&amp;"om/spreadsheets/d/1ctPm1vUzcUCPuOj9-eoHUD85PqINFqUB0TjdSWmR5-c/edit?usp=share_link"",""ยะลา!N691"")+IMPORTRANGE(""https://docs.google.com/spreadsheets/d/1YiDIE7Klmt8osgdapRqYWNr7iPGFSsiJqq46S7PYRE0/edit?usp=share_link"",""ระนอง!N691"")+IMPORTRANGE(""https"&amp;"://docs.google.com/spreadsheets/d/16o_4B-V7AWw_6E93bSpXj_XxVv1oVQctk-B6z1dNEWU/edit?usp=share_link"",""สงขลา!N691"")+IMPORTRANGE(""https://docs.google.com/spreadsheets/d/16cywr71Fj4fA5OGRHsZh30ZG2gwJhMAQv69oVBzYHv0/edit?usp=share_link"",""สตูล!N691"")+IMP"&amp;"ORTRANGE(""https://docs.google.com/spreadsheets/d/1vO9Sws6kMtrVtyvrAJptINXjK8TFBoX9xLYOVK_C8bQ/edit?usp=share_link"",""สุราษฎร์ธานี!N691"")"),0)</f>
        <v>0</v>
      </c>
      <c r="O691" s="37"/>
      <c r="P691" s="37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20.25" customHeight="1">
      <c r="A692" s="573"/>
      <c r="B692" s="574"/>
      <c r="C692" s="575"/>
      <c r="D692" s="575"/>
      <c r="E692" s="575"/>
      <c r="F692" s="576" t="s">
        <v>187</v>
      </c>
      <c r="G692" s="188"/>
      <c r="H692" s="160" t="s">
        <v>12</v>
      </c>
      <c r="I692" s="36"/>
      <c r="J692" s="36"/>
      <c r="K692" s="37"/>
      <c r="L692" s="37"/>
      <c r="M692" s="37"/>
      <c r="N692" s="282">
        <f ca="1">IFERROR(__xludf.DUMMYFUNCTION("IMPORTRANGE(""https://docs.google.com/spreadsheets/d/1kC41EOXpGBFOW658Fs3oD8beYlym0-zO54WY-2Qnp9I/edit?usp=share_link"",""กระบี่!N692"")
+IMPORTRANGE(""https://docs.google.com/spreadsheets/d/1FbzMZY_f3MDiEuK7RpCQKrilJ_kpX0Wm7QBZ1L7EjIU/edit?usp=share_link"&amp;""",""ชุมพร!N692"")+IMPORTRANGE(""https://docs.google.com/spreadsheets/d/1v5sN-00LrXuhBxw4dkh2GrG_z4l5oAqOdJRBCsUyMaM/edit?usp=share_link"",""ตรัง!N692"")+IMPORTRANGE(""https://docs.google.com/spreadsheets/d/1T5rRTzFc79aSIvqnzkZNvwPstq829QYz_xALlO1Z0s8/edi"&amp;"t?usp=share_link"",""นครศรีธรรมราช!N692"")+IMPORTRANGE(""https://docs.google.com/spreadsheets/d/1BeghqumK0IvCmRd2QOy6_afsZq7ZtAGrSnVJy2u7WmY/edit?usp=share_link"",""นราธิวาส!N692"")+IMPORTRANGE(""https://docs.google.com/spreadsheets/d/1IwnW3-jjRf74MCLW-6P"&amp;"iFwMUffRQXZwZA7YM609NmRc/edit?usp=share_link"",""ปัตตานี!N692"")+IMPORTRANGE(""https://docs.google.com/spreadsheets/d/1vl4QWbWdFruual5o_wdo6ZSqXZ_it806oja4CctTLKs/edit?usp=share_link"",""พังงา!N692"")+IMPORTRANGE(""https://docs.google.com/spreadsheets/d/1"&amp;"b6QssHQp2FoAPSMKHOy273KNzAomaIKhtdlvuZ_zDNE/edit?usp=share_link"",""พัทลุง!N692"")+IMPORTRANGE(""https://docs.google.com/spreadsheets/d/1o7UZe4_OqlqtLDHrj01Z2YFRSZDf1DMy1n3XViHaxRc/edit?usp=share_link"",""ภูเก็ต!N692"")+IMPORTRANGE(""https://docs.google.c"&amp;"om/spreadsheets/d/1ctPm1vUzcUCPuOj9-eoHUD85PqINFqUB0TjdSWmR5-c/edit?usp=share_link"",""ยะลา!N692"")+IMPORTRANGE(""https://docs.google.com/spreadsheets/d/1YiDIE7Klmt8osgdapRqYWNr7iPGFSsiJqq46S7PYRE0/edit?usp=share_link"",""ระนอง!N692"")+IMPORTRANGE(""https"&amp;"://docs.google.com/spreadsheets/d/16o_4B-V7AWw_6E93bSpXj_XxVv1oVQctk-B6z1dNEWU/edit?usp=share_link"",""สงขลา!N692"")+IMPORTRANGE(""https://docs.google.com/spreadsheets/d/16cywr71Fj4fA5OGRHsZh30ZG2gwJhMAQv69oVBzYHv0/edit?usp=share_link"",""สตูล!N692"")+IMP"&amp;"ORTRANGE(""https://docs.google.com/spreadsheets/d/1vO9Sws6kMtrVtyvrAJptINXjK8TFBoX9xLYOVK_C8bQ/edit?usp=share_link"",""สุราษฎร์ธานี!N692"")"),0)</f>
        <v>0</v>
      </c>
      <c r="O692" s="37"/>
      <c r="P692" s="37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20.25" customHeight="1">
      <c r="A693" s="573"/>
      <c r="B693" s="574"/>
      <c r="C693" s="575"/>
      <c r="D693" s="575"/>
      <c r="E693" s="575"/>
      <c r="F693" s="576" t="s">
        <v>188</v>
      </c>
      <c r="G693" s="188"/>
      <c r="H693" s="160" t="s">
        <v>12</v>
      </c>
      <c r="I693" s="36"/>
      <c r="J693" s="36"/>
      <c r="K693" s="37"/>
      <c r="L693" s="37"/>
      <c r="M693" s="37"/>
      <c r="N693" s="282">
        <f ca="1">IFERROR(__xludf.DUMMYFUNCTION("IMPORTRANGE(""https://docs.google.com/spreadsheets/d/1kC41EOXpGBFOW658Fs3oD8beYlym0-zO54WY-2Qnp9I/edit?usp=share_link"",""กระบี่!N693"")
+IMPORTRANGE(""https://docs.google.com/spreadsheets/d/1FbzMZY_f3MDiEuK7RpCQKrilJ_kpX0Wm7QBZ1L7EjIU/edit?usp=share_link"&amp;""",""ชุมพร!N693"")+IMPORTRANGE(""https://docs.google.com/spreadsheets/d/1v5sN-00LrXuhBxw4dkh2GrG_z4l5oAqOdJRBCsUyMaM/edit?usp=share_link"",""ตรัง!N693"")+IMPORTRANGE(""https://docs.google.com/spreadsheets/d/1T5rRTzFc79aSIvqnzkZNvwPstq829QYz_xALlO1Z0s8/edi"&amp;"t?usp=share_link"",""นครศรีธรรมราช!N693"")+IMPORTRANGE(""https://docs.google.com/spreadsheets/d/1BeghqumK0IvCmRd2QOy6_afsZq7ZtAGrSnVJy2u7WmY/edit?usp=share_link"",""นราธิวาส!N693"")+IMPORTRANGE(""https://docs.google.com/spreadsheets/d/1IwnW3-jjRf74MCLW-6P"&amp;"iFwMUffRQXZwZA7YM609NmRc/edit?usp=share_link"",""ปัตตานี!N693"")+IMPORTRANGE(""https://docs.google.com/spreadsheets/d/1vl4QWbWdFruual5o_wdo6ZSqXZ_it806oja4CctTLKs/edit?usp=share_link"",""พังงา!N693"")+IMPORTRANGE(""https://docs.google.com/spreadsheets/d/1"&amp;"b6QssHQp2FoAPSMKHOy273KNzAomaIKhtdlvuZ_zDNE/edit?usp=share_link"",""พัทลุง!N693"")+IMPORTRANGE(""https://docs.google.com/spreadsheets/d/1o7UZe4_OqlqtLDHrj01Z2YFRSZDf1DMy1n3XViHaxRc/edit?usp=share_link"",""ภูเก็ต!N693"")+IMPORTRANGE(""https://docs.google.c"&amp;"om/spreadsheets/d/1ctPm1vUzcUCPuOj9-eoHUD85PqINFqUB0TjdSWmR5-c/edit?usp=share_link"",""ยะลา!N693"")+IMPORTRANGE(""https://docs.google.com/spreadsheets/d/1YiDIE7Klmt8osgdapRqYWNr7iPGFSsiJqq46S7PYRE0/edit?usp=share_link"",""ระนอง!N693"")+IMPORTRANGE(""https"&amp;"://docs.google.com/spreadsheets/d/16o_4B-V7AWw_6E93bSpXj_XxVv1oVQctk-B6z1dNEWU/edit?usp=share_link"",""สงขลา!N693"")+IMPORTRANGE(""https://docs.google.com/spreadsheets/d/16cywr71Fj4fA5OGRHsZh30ZG2gwJhMAQv69oVBzYHv0/edit?usp=share_link"",""สตูล!N693"")+IMP"&amp;"ORTRANGE(""https://docs.google.com/spreadsheets/d/1vO9Sws6kMtrVtyvrAJptINXjK8TFBoX9xLYOVK_C8bQ/edit?usp=share_link"",""สุราษฎร์ธานี!N693"")"),0)</f>
        <v>0</v>
      </c>
      <c r="O693" s="37"/>
      <c r="P693" s="37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20.25" customHeight="1">
      <c r="A694" s="573"/>
      <c r="B694" s="574"/>
      <c r="C694" s="575"/>
      <c r="D694" s="575"/>
      <c r="E694" s="575"/>
      <c r="F694" s="576" t="s">
        <v>189</v>
      </c>
      <c r="G694" s="188"/>
      <c r="H694" s="160" t="s">
        <v>12</v>
      </c>
      <c r="I694" s="36"/>
      <c r="J694" s="36"/>
      <c r="K694" s="37"/>
      <c r="L694" s="37"/>
      <c r="M694" s="37"/>
      <c r="N694" s="282">
        <f ca="1">IFERROR(__xludf.DUMMYFUNCTION("IMPORTRANGE(""https://docs.google.com/spreadsheets/d/1kC41EOXpGBFOW658Fs3oD8beYlym0-zO54WY-2Qnp9I/edit?usp=share_link"",""กระบี่!N694"")
+IMPORTRANGE(""https://docs.google.com/spreadsheets/d/1FbzMZY_f3MDiEuK7RpCQKrilJ_kpX0Wm7QBZ1L7EjIU/edit?usp=share_link"&amp;""",""ชุมพร!N694"")+IMPORTRANGE(""https://docs.google.com/spreadsheets/d/1v5sN-00LrXuhBxw4dkh2GrG_z4l5oAqOdJRBCsUyMaM/edit?usp=share_link"",""ตรัง!N694"")+IMPORTRANGE(""https://docs.google.com/spreadsheets/d/1T5rRTzFc79aSIvqnzkZNvwPstq829QYz_xALlO1Z0s8/edi"&amp;"t?usp=share_link"",""นครศรีธรรมราช!N694"")+IMPORTRANGE(""https://docs.google.com/spreadsheets/d/1BeghqumK0IvCmRd2QOy6_afsZq7ZtAGrSnVJy2u7WmY/edit?usp=share_link"",""นราธิวาส!N694"")+IMPORTRANGE(""https://docs.google.com/spreadsheets/d/1IwnW3-jjRf74MCLW-6P"&amp;"iFwMUffRQXZwZA7YM609NmRc/edit?usp=share_link"",""ปัตตานี!N694"")+IMPORTRANGE(""https://docs.google.com/spreadsheets/d/1vl4QWbWdFruual5o_wdo6ZSqXZ_it806oja4CctTLKs/edit?usp=share_link"",""พังงา!N694"")+IMPORTRANGE(""https://docs.google.com/spreadsheets/d/1"&amp;"b6QssHQp2FoAPSMKHOy273KNzAomaIKhtdlvuZ_zDNE/edit?usp=share_link"",""พัทลุง!N694"")+IMPORTRANGE(""https://docs.google.com/spreadsheets/d/1o7UZe4_OqlqtLDHrj01Z2YFRSZDf1DMy1n3XViHaxRc/edit?usp=share_link"",""ภูเก็ต!N694"")+IMPORTRANGE(""https://docs.google.c"&amp;"om/spreadsheets/d/1ctPm1vUzcUCPuOj9-eoHUD85PqINFqUB0TjdSWmR5-c/edit?usp=share_link"",""ยะลา!N694"")+IMPORTRANGE(""https://docs.google.com/spreadsheets/d/1YiDIE7Klmt8osgdapRqYWNr7iPGFSsiJqq46S7PYRE0/edit?usp=share_link"",""ระนอง!N694"")+IMPORTRANGE(""https"&amp;"://docs.google.com/spreadsheets/d/16o_4B-V7AWw_6E93bSpXj_XxVv1oVQctk-B6z1dNEWU/edit?usp=share_link"",""สงขลา!N694"")+IMPORTRANGE(""https://docs.google.com/spreadsheets/d/16cywr71Fj4fA5OGRHsZh30ZG2gwJhMAQv69oVBzYHv0/edit?usp=share_link"",""สตูล!N694"")+IMP"&amp;"ORTRANGE(""https://docs.google.com/spreadsheets/d/1vO9Sws6kMtrVtyvrAJptINXjK8TFBoX9xLYOVK_C8bQ/edit?usp=share_link"",""สุราษฎร์ธานี!N694"")"),55840)</f>
        <v>55840</v>
      </c>
      <c r="O694" s="37"/>
      <c r="P694" s="37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20.25" customHeight="1">
      <c r="A695" s="596"/>
      <c r="B695" s="574"/>
      <c r="C695" s="575"/>
      <c r="D695" s="757" t="s">
        <v>21</v>
      </c>
      <c r="E695" s="575"/>
      <c r="F695" s="575"/>
      <c r="G695" s="188"/>
      <c r="H695" s="167" t="s">
        <v>12</v>
      </c>
      <c r="I695" s="161"/>
      <c r="J695" s="161"/>
      <c r="K695" s="162"/>
      <c r="L695" s="37">
        <f t="shared" ref="L695:N695" si="326">L696+L697</f>
        <v>0</v>
      </c>
      <c r="M695" s="37">
        <f t="shared" si="326"/>
        <v>0</v>
      </c>
      <c r="N695" s="37">
        <f t="shared" si="326"/>
        <v>0</v>
      </c>
      <c r="O695" s="37">
        <f t="shared" ref="O695:O697" si="327">IF(L695&gt;0,N695*100/L695,0)</f>
        <v>0</v>
      </c>
      <c r="P695" s="37">
        <f t="shared" ref="P695:P697" si="328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20.25" hidden="1" customHeight="1">
      <c r="A696" s="598"/>
      <c r="B696" s="604"/>
      <c r="C696" s="599"/>
      <c r="D696" s="599"/>
      <c r="E696" s="758" t="s">
        <v>18</v>
      </c>
      <c r="F696" s="599"/>
      <c r="G696" s="602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44">
        <f t="shared" si="327"/>
        <v>0</v>
      </c>
      <c r="P696" s="44">
        <f t="shared" si="328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20.25" hidden="1" customHeight="1">
      <c r="A697" s="598"/>
      <c r="B697" s="604"/>
      <c r="C697" s="599"/>
      <c r="D697" s="599"/>
      <c r="E697" s="758" t="s">
        <v>19</v>
      </c>
      <c r="F697" s="599"/>
      <c r="G697" s="602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44">
        <f t="shared" si="327"/>
        <v>0</v>
      </c>
      <c r="P697" s="44">
        <f t="shared" si="328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20.25" customHeight="1">
      <c r="A698" s="607"/>
      <c r="B698" s="608"/>
      <c r="C698" s="575" t="s">
        <v>16</v>
      </c>
      <c r="D698" s="759" t="s">
        <v>38</v>
      </c>
      <c r="E698" s="760"/>
      <c r="F698" s="611"/>
      <c r="G698" s="612"/>
      <c r="H698" s="761"/>
      <c r="I698" s="161"/>
      <c r="J698" s="161"/>
      <c r="K698" s="162"/>
      <c r="L698" s="162"/>
      <c r="M698" s="162"/>
      <c r="N698" s="162"/>
      <c r="O698" s="162"/>
      <c r="P698" s="162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20.25" customHeight="1">
      <c r="A699" s="743"/>
      <c r="B699" s="575"/>
      <c r="C699" s="575"/>
      <c r="D699" s="576" t="s">
        <v>294</v>
      </c>
      <c r="E699" s="762"/>
      <c r="F699" s="575"/>
      <c r="G699" s="188"/>
      <c r="H699" s="763" t="s">
        <v>46</v>
      </c>
      <c r="I699" s="764">
        <f ca="1">IFERROR(__xludf.DUMMYFUNCTION("IMPORTRANGE(""https://docs.google.com/spreadsheets/d/1kC41EOXpGBFOW658Fs3oD8beYlym0-zO54WY-2Qnp9I/edit?usp=share_link"",""กระบี่!I699"")
+IMPORTRANGE(""https://docs.google.com/spreadsheets/d/1FbzMZY_f3MDiEuK7RpCQKrilJ_kpX0Wm7QBZ1L7EjIU/edit?usp=share_link"&amp;""",""ชุมพร!I699"")+IMPORTRANGE(""https://docs.google.com/spreadsheets/d/1v5sN-00LrXuhBxw4dkh2GrG_z4l5oAqOdJRBCsUyMaM/edit?usp=share_link"",""ตรัง!I699"")+IMPORTRANGE(""https://docs.google.com/spreadsheets/d/1T5rRTzFc79aSIvqnzkZNvwPstq829QYz_xALlO1Z0s8/edi"&amp;"t?usp=share_link"",""นครศรีธรรมราช!I699"")+IMPORTRANGE(""https://docs.google.com/spreadsheets/d/1BeghqumK0IvCmRd2QOy6_afsZq7ZtAGrSnVJy2u7WmY/edit?usp=share_link"",""นราธิวาส!I699"")+IMPORTRANGE(""https://docs.google.com/spreadsheets/d/1IwnW3-jjRf74MCLW-6P"&amp;"iFwMUffRQXZwZA7YM609NmRc/edit?usp=share_link"",""ปัตตานี!I699"")+IMPORTRANGE(""https://docs.google.com/spreadsheets/d/1vl4QWbWdFruual5o_wdo6ZSqXZ_it806oja4CctTLKs/edit?usp=share_link"",""พังงา!I699"")+IMPORTRANGE(""https://docs.google.com/spreadsheets/d/1"&amp;"b6QssHQp2FoAPSMKHOy273KNzAomaIKhtdlvuZ_zDNE/edit?usp=share_link"",""พัทลุง!I699"")+IMPORTRANGE(""https://docs.google.com/spreadsheets/d/1o7UZe4_OqlqtLDHrj01Z2YFRSZDf1DMy1n3XViHaxRc/edit?usp=share_link"",""ภูเก็ต!I699"")+IMPORTRANGE(""https://docs.google.c"&amp;"om/spreadsheets/d/1ctPm1vUzcUCPuOj9-eoHUD85PqINFqUB0TjdSWmR5-c/edit?usp=share_link"",""ยะลา!I699"")+IMPORTRANGE(""https://docs.google.com/spreadsheets/d/1YiDIE7Klmt8osgdapRqYWNr7iPGFSsiJqq46S7PYRE0/edit?usp=share_link"",""ระนอง!I699"")+IMPORTRANGE(""https"&amp;"://docs.google.com/spreadsheets/d/16o_4B-V7AWw_6E93bSpXj_XxVv1oVQctk-B6z1dNEWU/edit?usp=share_link"",""สงขลา!I699"")+IMPORTRANGE(""https://docs.google.com/spreadsheets/d/16cywr71Fj4fA5OGRHsZh30ZG2gwJhMAQv69oVBzYHv0/edit?usp=share_link"",""สตูล!I699"")+IMP"&amp;"ORTRANGE(""https://docs.google.com/spreadsheets/d/1vO9Sws6kMtrVtyvrAJptINXjK8TFBoX9xLYOVK_C8bQ/edit?usp=share_link"",""สุราษฎร์ธานี!I699"")"),248)</f>
        <v>248</v>
      </c>
      <c r="J699" s="36">
        <f ca="1">IFERROR(__xludf.DUMMYFUNCTION("IMPORTRANGE(""https://docs.google.com/spreadsheets/d/1kC41EOXpGBFOW658Fs3oD8beYlym0-zO54WY-2Qnp9I/edit?usp=share_link"",""กระบี่!J699"")
+IMPORTRANGE(""https://docs.google.com/spreadsheets/d/1FbzMZY_f3MDiEuK7RpCQKrilJ_kpX0Wm7QBZ1L7EjIU/edit?usp=share_link"&amp;""",""ชุมพร!J699"")+IMPORTRANGE(""https://docs.google.com/spreadsheets/d/1v5sN-00LrXuhBxw4dkh2GrG_z4l5oAqOdJRBCsUyMaM/edit?usp=share_link"",""ตรัง!J699"")+IMPORTRANGE(""https://docs.google.com/spreadsheets/d/1T5rRTzFc79aSIvqnzkZNvwPstq829QYz_xALlO1Z0s8/edi"&amp;"t?usp=share_link"",""นครศรีธรรมราช!J699"")+IMPORTRANGE(""https://docs.google.com/spreadsheets/d/1BeghqumK0IvCmRd2QOy6_afsZq7ZtAGrSnVJy2u7WmY/edit?usp=share_link"",""นราธิวาส!J699"")+IMPORTRANGE(""https://docs.google.com/spreadsheets/d/1IwnW3-jjRf74MCLW-6P"&amp;"iFwMUffRQXZwZA7YM609NmRc/edit?usp=share_link"",""ปัตตานี!J699"")+IMPORTRANGE(""https://docs.google.com/spreadsheets/d/1vl4QWbWdFruual5o_wdo6ZSqXZ_it806oja4CctTLKs/edit?usp=share_link"",""พังงา!J699"")+IMPORTRANGE(""https://docs.google.com/spreadsheets/d/1"&amp;"b6QssHQp2FoAPSMKHOy273KNzAomaIKhtdlvuZ_zDNE/edit?usp=share_link"",""พัทลุง!J699"")+IMPORTRANGE(""https://docs.google.com/spreadsheets/d/1o7UZe4_OqlqtLDHrj01Z2YFRSZDf1DMy1n3XViHaxRc/edit?usp=share_link"",""ภูเก็ต!J699"")+IMPORTRANGE(""https://docs.google.c"&amp;"om/spreadsheets/d/1ctPm1vUzcUCPuOj9-eoHUD85PqINFqUB0TjdSWmR5-c/edit?usp=share_link"",""ยะลา!J699"")+IMPORTRANGE(""https://docs.google.com/spreadsheets/d/1YiDIE7Klmt8osgdapRqYWNr7iPGFSsiJqq46S7PYRE0/edit?usp=share_link"",""ระนอง!J699"")+IMPORTRANGE(""https"&amp;"://docs.google.com/spreadsheets/d/16o_4B-V7AWw_6E93bSpXj_XxVv1oVQctk-B6z1dNEWU/edit?usp=share_link"",""สงขลา!J699"")+IMPORTRANGE(""https://docs.google.com/spreadsheets/d/16cywr71Fj4fA5OGRHsZh30ZG2gwJhMAQv69oVBzYHv0/edit?usp=share_link"",""สตูล!J699"")+IMP"&amp;"ORTRANGE(""https://docs.google.com/spreadsheets/d/1vO9Sws6kMtrVtyvrAJptINXjK8TFBoX9xLYOVK_C8bQ/edit?usp=share_link"",""สุราษฎร์ธานี!J699"")"),248.31)</f>
        <v>248.31</v>
      </c>
      <c r="K699" s="37">
        <f t="shared" ref="K699:K701" ca="1" si="329">IF(I699&gt;0,J699*100/I699,0)</f>
        <v>100.125</v>
      </c>
      <c r="L699" s="37"/>
      <c r="M699" s="188"/>
      <c r="N699" s="765"/>
      <c r="O699" s="37"/>
      <c r="P699" s="37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20.25" customHeight="1">
      <c r="A700" s="743"/>
      <c r="B700" s="575"/>
      <c r="C700" s="575"/>
      <c r="D700" s="576" t="s">
        <v>295</v>
      </c>
      <c r="E700" s="575"/>
      <c r="F700" s="575"/>
      <c r="G700" s="188"/>
      <c r="H700" s="763" t="s">
        <v>35</v>
      </c>
      <c r="I700" s="764">
        <f ca="1">IFERROR(__xludf.DUMMYFUNCTION("IMPORTRANGE(""https://docs.google.com/spreadsheets/d/1kC41EOXpGBFOW658Fs3oD8beYlym0-zO54WY-2Qnp9I/edit?usp=share_link"",""กระบี่!I700"")
+IMPORTRANGE(""https://docs.google.com/spreadsheets/d/1FbzMZY_f3MDiEuK7RpCQKrilJ_kpX0Wm7QBZ1L7EjIU/edit?usp=share_link"&amp;""",""ชุมพร!I700"")+IMPORTRANGE(""https://docs.google.com/spreadsheets/d/1v5sN-00LrXuhBxw4dkh2GrG_z4l5oAqOdJRBCsUyMaM/edit?usp=share_link"",""ตรัง!I700"")+IMPORTRANGE(""https://docs.google.com/spreadsheets/d/1T5rRTzFc79aSIvqnzkZNvwPstq829QYz_xALlO1Z0s8/edi"&amp;"t?usp=share_link"",""นครศรีธรรมราช!I700"")+IMPORTRANGE(""https://docs.google.com/spreadsheets/d/1BeghqumK0IvCmRd2QOy6_afsZq7ZtAGrSnVJy2u7WmY/edit?usp=share_link"",""นราธิวาส!I700"")+IMPORTRANGE(""https://docs.google.com/spreadsheets/d/1IwnW3-jjRf74MCLW-6P"&amp;"iFwMUffRQXZwZA7YM609NmRc/edit?usp=share_link"",""ปัตตานี!I700"")+IMPORTRANGE(""https://docs.google.com/spreadsheets/d/1vl4QWbWdFruual5o_wdo6ZSqXZ_it806oja4CctTLKs/edit?usp=share_link"",""พังงา!I700"")+IMPORTRANGE(""https://docs.google.com/spreadsheets/d/1"&amp;"b6QssHQp2FoAPSMKHOy273KNzAomaIKhtdlvuZ_zDNE/edit?usp=share_link"",""พัทลุง!I700"")+IMPORTRANGE(""https://docs.google.com/spreadsheets/d/1o7UZe4_OqlqtLDHrj01Z2YFRSZDf1DMy1n3XViHaxRc/edit?usp=share_link"",""ภูเก็ต!I700"")+IMPORTRANGE(""https://docs.google.c"&amp;"om/spreadsheets/d/1ctPm1vUzcUCPuOj9-eoHUD85PqINFqUB0TjdSWmR5-c/edit?usp=share_link"",""ยะลา!I700"")+IMPORTRANGE(""https://docs.google.com/spreadsheets/d/1YiDIE7Klmt8osgdapRqYWNr7iPGFSsiJqq46S7PYRE0/edit?usp=share_link"",""ระนอง!I700"")+IMPORTRANGE(""https"&amp;"://docs.google.com/spreadsheets/d/16o_4B-V7AWw_6E93bSpXj_XxVv1oVQctk-B6z1dNEWU/edit?usp=share_link"",""สงขลา!I700"")+IMPORTRANGE(""https://docs.google.com/spreadsheets/d/16cywr71Fj4fA5OGRHsZh30ZG2gwJhMAQv69oVBzYHv0/edit?usp=share_link"",""สตูล!I700"")+IMP"&amp;"ORTRANGE(""https://docs.google.com/spreadsheets/d/1vO9Sws6kMtrVtyvrAJptINXjK8TFBoX9xLYOVK_C8bQ/edit?usp=share_link"",""สุราษฎร์ธานี!I700"")"),57)</f>
        <v>57</v>
      </c>
      <c r="J700" s="36">
        <f ca="1">IFERROR(__xludf.DUMMYFUNCTION("IMPORTRANGE(""https://docs.google.com/spreadsheets/d/1kC41EOXpGBFOW658Fs3oD8beYlym0-zO54WY-2Qnp9I/edit?usp=share_link"",""กระบี่!J700"")
+IMPORTRANGE(""https://docs.google.com/spreadsheets/d/1FbzMZY_f3MDiEuK7RpCQKrilJ_kpX0Wm7QBZ1L7EjIU/edit?usp=share_link"&amp;""",""ชุมพร!J700"")+IMPORTRANGE(""https://docs.google.com/spreadsheets/d/1v5sN-00LrXuhBxw4dkh2GrG_z4l5oAqOdJRBCsUyMaM/edit?usp=share_link"",""ตรัง!J700"")+IMPORTRANGE(""https://docs.google.com/spreadsheets/d/1T5rRTzFc79aSIvqnzkZNvwPstq829QYz_xALlO1Z0s8/edi"&amp;"t?usp=share_link"",""นครศรีธรรมราช!J700"")+IMPORTRANGE(""https://docs.google.com/spreadsheets/d/1BeghqumK0IvCmRd2QOy6_afsZq7ZtAGrSnVJy2u7WmY/edit?usp=share_link"",""นราธิวาส!J700"")+IMPORTRANGE(""https://docs.google.com/spreadsheets/d/1IwnW3-jjRf74MCLW-6P"&amp;"iFwMUffRQXZwZA7YM609NmRc/edit?usp=share_link"",""ปัตตานี!J700"")+IMPORTRANGE(""https://docs.google.com/spreadsheets/d/1vl4QWbWdFruual5o_wdo6ZSqXZ_it806oja4CctTLKs/edit?usp=share_link"",""พังงา!J700"")+IMPORTRANGE(""https://docs.google.com/spreadsheets/d/1"&amp;"b6QssHQp2FoAPSMKHOy273KNzAomaIKhtdlvuZ_zDNE/edit?usp=share_link"",""พัทลุง!J700"")+IMPORTRANGE(""https://docs.google.com/spreadsheets/d/1o7UZe4_OqlqtLDHrj01Z2YFRSZDf1DMy1n3XViHaxRc/edit?usp=share_link"",""ภูเก็ต!J700"")+IMPORTRANGE(""https://docs.google.c"&amp;"om/spreadsheets/d/1ctPm1vUzcUCPuOj9-eoHUD85PqINFqUB0TjdSWmR5-c/edit?usp=share_link"",""ยะลา!J700"")+IMPORTRANGE(""https://docs.google.com/spreadsheets/d/1YiDIE7Klmt8osgdapRqYWNr7iPGFSsiJqq46S7PYRE0/edit?usp=share_link"",""ระนอง!J700"")+IMPORTRANGE(""https"&amp;"://docs.google.com/spreadsheets/d/16o_4B-V7AWw_6E93bSpXj_XxVv1oVQctk-B6z1dNEWU/edit?usp=share_link"",""สงขลา!J700"")+IMPORTRANGE(""https://docs.google.com/spreadsheets/d/16cywr71Fj4fA5OGRHsZh30ZG2gwJhMAQv69oVBzYHv0/edit?usp=share_link"",""สตูล!J700"")+IMP"&amp;"ORTRANGE(""https://docs.google.com/spreadsheets/d/1vO9Sws6kMtrVtyvrAJptINXjK8TFBoX9xLYOVK_C8bQ/edit?usp=share_link"",""สุราษฎร์ธานี!J700"")"),60)</f>
        <v>60</v>
      </c>
      <c r="K700" s="37">
        <f t="shared" ca="1" si="329"/>
        <v>105.26315789473684</v>
      </c>
      <c r="L700" s="37"/>
      <c r="M700" s="188"/>
      <c r="N700" s="765"/>
      <c r="O700" s="37"/>
      <c r="P700" s="37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20.25" customHeight="1">
      <c r="A701" s="743"/>
      <c r="B701" s="575"/>
      <c r="C701" s="575"/>
      <c r="D701" s="576" t="s">
        <v>296</v>
      </c>
      <c r="E701" s="575"/>
      <c r="F701" s="575"/>
      <c r="G701" s="188"/>
      <c r="H701" s="766" t="s">
        <v>46</v>
      </c>
      <c r="I701" s="767">
        <f ca="1">IFERROR(__xludf.DUMMYFUNCTION("IMPORTRANGE(""https://docs.google.com/spreadsheets/d/1kC41EOXpGBFOW658Fs3oD8beYlym0-zO54WY-2Qnp9I/edit?usp=share_link"",""กระบี่!I701"")
+IMPORTRANGE(""https://docs.google.com/spreadsheets/d/1FbzMZY_f3MDiEuK7RpCQKrilJ_kpX0Wm7QBZ1L7EjIU/edit?usp=share_link"&amp;""",""ชุมพร!I701"")+IMPORTRANGE(""https://docs.google.com/spreadsheets/d/1v5sN-00LrXuhBxw4dkh2GrG_z4l5oAqOdJRBCsUyMaM/edit?usp=share_link"",""ตรัง!I701"")+IMPORTRANGE(""https://docs.google.com/spreadsheets/d/1T5rRTzFc79aSIvqnzkZNvwPstq829QYz_xALlO1Z0s8/edi"&amp;"t?usp=share_link"",""นครศรีธรรมราช!I701"")+IMPORTRANGE(""https://docs.google.com/spreadsheets/d/1BeghqumK0IvCmRd2QOy6_afsZq7ZtAGrSnVJy2u7WmY/edit?usp=share_link"",""นราธิวาส!I701"")+IMPORTRANGE(""https://docs.google.com/spreadsheets/d/1IwnW3-jjRf74MCLW-6P"&amp;"iFwMUffRQXZwZA7YM609NmRc/edit?usp=share_link"",""ปัตตานี!I701"")+IMPORTRANGE(""https://docs.google.com/spreadsheets/d/1vl4QWbWdFruual5o_wdo6ZSqXZ_it806oja4CctTLKs/edit?usp=share_link"",""พังงา!I701"")+IMPORTRANGE(""https://docs.google.com/spreadsheets/d/1"&amp;"b6QssHQp2FoAPSMKHOy273KNzAomaIKhtdlvuZ_zDNE/edit?usp=share_link"",""พัทลุง!I701"")+IMPORTRANGE(""https://docs.google.com/spreadsheets/d/1o7UZe4_OqlqtLDHrj01Z2YFRSZDf1DMy1n3XViHaxRc/edit?usp=share_link"",""ภูเก็ต!I701"")+IMPORTRANGE(""https://docs.google.c"&amp;"om/spreadsheets/d/1ctPm1vUzcUCPuOj9-eoHUD85PqINFqUB0TjdSWmR5-c/edit?usp=share_link"",""ยะลา!I701"")+IMPORTRANGE(""https://docs.google.com/spreadsheets/d/1YiDIE7Klmt8osgdapRqYWNr7iPGFSsiJqq46S7PYRE0/edit?usp=share_link"",""ระนอง!I701"")+IMPORTRANGE(""https"&amp;"://docs.google.com/spreadsheets/d/16o_4B-V7AWw_6E93bSpXj_XxVv1oVQctk-B6z1dNEWU/edit?usp=share_link"",""สงขลา!I701"")+IMPORTRANGE(""https://docs.google.com/spreadsheets/d/16cywr71Fj4fA5OGRHsZh30ZG2gwJhMAQv69oVBzYHv0/edit?usp=share_link"",""สตูล!I701"")+IMP"&amp;"ORTRANGE(""https://docs.google.com/spreadsheets/d/1vO9Sws6kMtrVtyvrAJptINXjK8TFBoX9xLYOVK_C8bQ/edit?usp=share_link"",""สุราษฎร์ธานี!I701"")"),50)</f>
        <v>50</v>
      </c>
      <c r="J701" s="193">
        <f ca="1">J704+J707</f>
        <v>0</v>
      </c>
      <c r="K701" s="194">
        <f t="shared" ca="1" si="329"/>
        <v>0</v>
      </c>
      <c r="L701" s="37"/>
      <c r="M701" s="188"/>
      <c r="N701" s="765"/>
      <c r="O701" s="37"/>
      <c r="P701" s="37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20.25" customHeight="1">
      <c r="A702" s="743"/>
      <c r="B702" s="575"/>
      <c r="C702" s="575"/>
      <c r="D702" s="575"/>
      <c r="E702" s="576" t="s">
        <v>297</v>
      </c>
      <c r="F702" s="575"/>
      <c r="G702" s="188"/>
      <c r="H702" s="181" t="s">
        <v>35</v>
      </c>
      <c r="I702" s="764"/>
      <c r="J702" s="182">
        <f ca="1">IFERROR(__xludf.DUMMYFUNCTION("IMPORTRANGE(""https://docs.google.com/spreadsheets/d/1kC41EOXpGBFOW658Fs3oD8beYlym0-zO54WY-2Qnp9I/edit?usp=share_link"",""กระบี่!J702"")
+IMPORTRANGE(""https://docs.google.com/spreadsheets/d/1FbzMZY_f3MDiEuK7RpCQKrilJ_kpX0Wm7QBZ1L7EjIU/edit?usp=share_link"&amp;""",""ชุมพร!J702"")+IMPORTRANGE(""https://docs.google.com/spreadsheets/d/1v5sN-00LrXuhBxw4dkh2GrG_z4l5oAqOdJRBCsUyMaM/edit?usp=share_link"",""ตรัง!J702"")+IMPORTRANGE(""https://docs.google.com/spreadsheets/d/1T5rRTzFc79aSIvqnzkZNvwPstq829QYz_xALlO1Z0s8/edi"&amp;"t?usp=share_link"",""นครศรีธรรมราช!J702"")+IMPORTRANGE(""https://docs.google.com/spreadsheets/d/1BeghqumK0IvCmRd2QOy6_afsZq7ZtAGrSnVJy2u7WmY/edit?usp=share_link"",""นราธิวาส!J702"")+IMPORTRANGE(""https://docs.google.com/spreadsheets/d/1IwnW3-jjRf74MCLW-6P"&amp;"iFwMUffRQXZwZA7YM609NmRc/edit?usp=share_link"",""ปัตตานี!J702"")+IMPORTRANGE(""https://docs.google.com/spreadsheets/d/1vl4QWbWdFruual5o_wdo6ZSqXZ_it806oja4CctTLKs/edit?usp=share_link"",""พังงา!J702"")+IMPORTRANGE(""https://docs.google.com/spreadsheets/d/1"&amp;"b6QssHQp2FoAPSMKHOy273KNzAomaIKhtdlvuZ_zDNE/edit?usp=share_link"",""พัทลุง!J702"")+IMPORTRANGE(""https://docs.google.com/spreadsheets/d/1o7UZe4_OqlqtLDHrj01Z2YFRSZDf1DMy1n3XViHaxRc/edit?usp=share_link"",""ภูเก็ต!J702"")+IMPORTRANGE(""https://docs.google.c"&amp;"om/spreadsheets/d/1ctPm1vUzcUCPuOj9-eoHUD85PqINFqUB0TjdSWmR5-c/edit?usp=share_link"",""ยะลา!J702"")+IMPORTRANGE(""https://docs.google.com/spreadsheets/d/1YiDIE7Klmt8osgdapRqYWNr7iPGFSsiJqq46S7PYRE0/edit?usp=share_link"",""ระนอง!J702"")+IMPORTRANGE(""https"&amp;"://docs.google.com/spreadsheets/d/16o_4B-V7AWw_6E93bSpXj_XxVv1oVQctk-B6z1dNEWU/edit?usp=share_link"",""สงขลา!J702"")+IMPORTRANGE(""https://docs.google.com/spreadsheets/d/16cywr71Fj4fA5OGRHsZh30ZG2gwJhMAQv69oVBzYHv0/edit?usp=share_link"",""สตูล!J702"")+IMP"&amp;"ORTRANGE(""https://docs.google.com/spreadsheets/d/1vO9Sws6kMtrVtyvrAJptINXjK8TFBoX9xLYOVK_C8bQ/edit?usp=share_link"",""สุราษฎร์ธานี!J702"")"),0)</f>
        <v>0</v>
      </c>
      <c r="K702" s="37"/>
      <c r="L702" s="37"/>
      <c r="M702" s="188"/>
      <c r="N702" s="765"/>
      <c r="O702" s="37"/>
      <c r="P702" s="37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20.25" customHeight="1">
      <c r="A703" s="743"/>
      <c r="B703" s="575"/>
      <c r="C703" s="575"/>
      <c r="D703" s="575"/>
      <c r="E703" s="575"/>
      <c r="F703" s="575"/>
      <c r="G703" s="188"/>
      <c r="H703" s="181" t="s">
        <v>34</v>
      </c>
      <c r="I703" s="764"/>
      <c r="J703" s="182">
        <f ca="1">IFERROR(__xludf.DUMMYFUNCTION("IMPORTRANGE(""https://docs.google.com/spreadsheets/d/1kC41EOXpGBFOW658Fs3oD8beYlym0-zO54WY-2Qnp9I/edit?usp=share_link"",""กระบี่!J703"")
+IMPORTRANGE(""https://docs.google.com/spreadsheets/d/1FbzMZY_f3MDiEuK7RpCQKrilJ_kpX0Wm7QBZ1L7EjIU/edit?usp=share_link"&amp;""",""ชุมพร!J703"")+IMPORTRANGE(""https://docs.google.com/spreadsheets/d/1v5sN-00LrXuhBxw4dkh2GrG_z4l5oAqOdJRBCsUyMaM/edit?usp=share_link"",""ตรัง!J703"")+IMPORTRANGE(""https://docs.google.com/spreadsheets/d/1T5rRTzFc79aSIvqnzkZNvwPstq829QYz_xALlO1Z0s8/edi"&amp;"t?usp=share_link"",""นครศรีธรรมราช!J703"")+IMPORTRANGE(""https://docs.google.com/spreadsheets/d/1BeghqumK0IvCmRd2QOy6_afsZq7ZtAGrSnVJy2u7WmY/edit?usp=share_link"",""นราธิวาส!J703"")+IMPORTRANGE(""https://docs.google.com/spreadsheets/d/1IwnW3-jjRf74MCLW-6P"&amp;"iFwMUffRQXZwZA7YM609NmRc/edit?usp=share_link"",""ปัตตานี!J703"")+IMPORTRANGE(""https://docs.google.com/spreadsheets/d/1vl4QWbWdFruual5o_wdo6ZSqXZ_it806oja4CctTLKs/edit?usp=share_link"",""พังงา!J703"")+IMPORTRANGE(""https://docs.google.com/spreadsheets/d/1"&amp;"b6QssHQp2FoAPSMKHOy273KNzAomaIKhtdlvuZ_zDNE/edit?usp=share_link"",""พัทลุง!J703"")+IMPORTRANGE(""https://docs.google.com/spreadsheets/d/1o7UZe4_OqlqtLDHrj01Z2YFRSZDf1DMy1n3XViHaxRc/edit?usp=share_link"",""ภูเก็ต!J703"")+IMPORTRANGE(""https://docs.google.c"&amp;"om/spreadsheets/d/1ctPm1vUzcUCPuOj9-eoHUD85PqINFqUB0TjdSWmR5-c/edit?usp=share_link"",""ยะลา!J703"")+IMPORTRANGE(""https://docs.google.com/spreadsheets/d/1YiDIE7Klmt8osgdapRqYWNr7iPGFSsiJqq46S7PYRE0/edit?usp=share_link"",""ระนอง!J703"")+IMPORTRANGE(""https"&amp;"://docs.google.com/spreadsheets/d/16o_4B-V7AWw_6E93bSpXj_XxVv1oVQctk-B6z1dNEWU/edit?usp=share_link"",""สงขลา!J703"")+IMPORTRANGE(""https://docs.google.com/spreadsheets/d/16cywr71Fj4fA5OGRHsZh30ZG2gwJhMAQv69oVBzYHv0/edit?usp=share_link"",""สตูล!J703"")+IMP"&amp;"ORTRANGE(""https://docs.google.com/spreadsheets/d/1vO9Sws6kMtrVtyvrAJptINXjK8TFBoX9xLYOVK_C8bQ/edit?usp=share_link"",""สุราษฎร์ธานี!J703"")"),0)</f>
        <v>0</v>
      </c>
      <c r="K703" s="37"/>
      <c r="L703" s="37"/>
      <c r="M703" s="188"/>
      <c r="N703" s="765"/>
      <c r="O703" s="37"/>
      <c r="P703" s="37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20.25" customHeight="1">
      <c r="A704" s="743"/>
      <c r="B704" s="575"/>
      <c r="C704" s="575"/>
      <c r="D704" s="575"/>
      <c r="E704" s="575"/>
      <c r="F704" s="575"/>
      <c r="G704" s="188"/>
      <c r="H704" s="181" t="s">
        <v>46</v>
      </c>
      <c r="I704" s="764">
        <f ca="1">IFERROR(__xludf.DUMMYFUNCTION("IMPORTRANGE(""https://docs.google.com/spreadsheets/d/1kC41EOXpGBFOW658Fs3oD8beYlym0-zO54WY-2Qnp9I/edit?usp=share_link"",""กระบี่!I704"")
+IMPORTRANGE(""https://docs.google.com/spreadsheets/d/1FbzMZY_f3MDiEuK7RpCQKrilJ_kpX0Wm7QBZ1L7EjIU/edit?usp=share_link"&amp;""",""ชุมพร!I704"")+IMPORTRANGE(""https://docs.google.com/spreadsheets/d/1v5sN-00LrXuhBxw4dkh2GrG_z4l5oAqOdJRBCsUyMaM/edit?usp=share_link"",""ตรัง!I704"")+IMPORTRANGE(""https://docs.google.com/spreadsheets/d/1T5rRTzFc79aSIvqnzkZNvwPstq829QYz_xALlO1Z0s8/edi"&amp;"t?usp=share_link"",""นครศรีธรรมราช!I704"")+IMPORTRANGE(""https://docs.google.com/spreadsheets/d/1BeghqumK0IvCmRd2QOy6_afsZq7ZtAGrSnVJy2u7WmY/edit?usp=share_link"",""นราธิวาส!I704"")+IMPORTRANGE(""https://docs.google.com/spreadsheets/d/1IwnW3-jjRf74MCLW-6P"&amp;"iFwMUffRQXZwZA7YM609NmRc/edit?usp=share_link"",""ปัตตานี!I704"")+IMPORTRANGE(""https://docs.google.com/spreadsheets/d/1vl4QWbWdFruual5o_wdo6ZSqXZ_it806oja4CctTLKs/edit?usp=share_link"",""พังงา!I704"")+IMPORTRANGE(""https://docs.google.com/spreadsheets/d/1"&amp;"b6QssHQp2FoAPSMKHOy273KNzAomaIKhtdlvuZ_zDNE/edit?usp=share_link"",""พัทลุง!I704"")+IMPORTRANGE(""https://docs.google.com/spreadsheets/d/1o7UZe4_OqlqtLDHrj01Z2YFRSZDf1DMy1n3XViHaxRc/edit?usp=share_link"",""ภูเก็ต!I704"")+IMPORTRANGE(""https://docs.google.c"&amp;"om/spreadsheets/d/1ctPm1vUzcUCPuOj9-eoHUD85PqINFqUB0TjdSWmR5-c/edit?usp=share_link"",""ยะลา!I704"")+IMPORTRANGE(""https://docs.google.com/spreadsheets/d/1YiDIE7Klmt8osgdapRqYWNr7iPGFSsiJqq46S7PYRE0/edit?usp=share_link"",""ระนอง!I704"")+IMPORTRANGE(""https"&amp;"://docs.google.com/spreadsheets/d/16o_4B-V7AWw_6E93bSpXj_XxVv1oVQctk-B6z1dNEWU/edit?usp=share_link"",""สงขลา!I704"")+IMPORTRANGE(""https://docs.google.com/spreadsheets/d/16cywr71Fj4fA5OGRHsZh30ZG2gwJhMAQv69oVBzYHv0/edit?usp=share_link"",""สตูล!I704"")+IMP"&amp;"ORTRANGE(""https://docs.google.com/spreadsheets/d/1vO9Sws6kMtrVtyvrAJptINXjK8TFBoX9xLYOVK_C8bQ/edit?usp=share_link"",""สุราษฎร์ธานี!I704"")"),0)</f>
        <v>0</v>
      </c>
      <c r="J704" s="182">
        <f ca="1">IFERROR(__xludf.DUMMYFUNCTION("IMPORTRANGE(""https://docs.google.com/spreadsheets/d/1kC41EOXpGBFOW658Fs3oD8beYlym0-zO54WY-2Qnp9I/edit?usp=share_link"",""กระบี่!J704"")
+IMPORTRANGE(""https://docs.google.com/spreadsheets/d/1FbzMZY_f3MDiEuK7RpCQKrilJ_kpX0Wm7QBZ1L7EjIU/edit?usp=share_link"&amp;""",""ชุมพร!J704"")+IMPORTRANGE(""https://docs.google.com/spreadsheets/d/1v5sN-00LrXuhBxw4dkh2GrG_z4l5oAqOdJRBCsUyMaM/edit?usp=share_link"",""ตรัง!J704"")+IMPORTRANGE(""https://docs.google.com/spreadsheets/d/1T5rRTzFc79aSIvqnzkZNvwPstq829QYz_xALlO1Z0s8/edi"&amp;"t?usp=share_link"",""นครศรีธรรมราช!J704"")+IMPORTRANGE(""https://docs.google.com/spreadsheets/d/1BeghqumK0IvCmRd2QOy6_afsZq7ZtAGrSnVJy2u7WmY/edit?usp=share_link"",""นราธิวาส!J704"")+IMPORTRANGE(""https://docs.google.com/spreadsheets/d/1IwnW3-jjRf74MCLW-6P"&amp;"iFwMUffRQXZwZA7YM609NmRc/edit?usp=share_link"",""ปัตตานี!J704"")+IMPORTRANGE(""https://docs.google.com/spreadsheets/d/1vl4QWbWdFruual5o_wdo6ZSqXZ_it806oja4CctTLKs/edit?usp=share_link"",""พังงา!J704"")+IMPORTRANGE(""https://docs.google.com/spreadsheets/d/1"&amp;"b6QssHQp2FoAPSMKHOy273KNzAomaIKhtdlvuZ_zDNE/edit?usp=share_link"",""พัทลุง!J704"")+IMPORTRANGE(""https://docs.google.com/spreadsheets/d/1o7UZe4_OqlqtLDHrj01Z2YFRSZDf1DMy1n3XViHaxRc/edit?usp=share_link"",""ภูเก็ต!J704"")+IMPORTRANGE(""https://docs.google.c"&amp;"om/spreadsheets/d/1ctPm1vUzcUCPuOj9-eoHUD85PqINFqUB0TjdSWmR5-c/edit?usp=share_link"",""ยะลา!J704"")+IMPORTRANGE(""https://docs.google.com/spreadsheets/d/1YiDIE7Klmt8osgdapRqYWNr7iPGFSsiJqq46S7PYRE0/edit?usp=share_link"",""ระนอง!J704"")+IMPORTRANGE(""https"&amp;"://docs.google.com/spreadsheets/d/16o_4B-V7AWw_6E93bSpXj_XxVv1oVQctk-B6z1dNEWU/edit?usp=share_link"",""สงขลา!J704"")+IMPORTRANGE(""https://docs.google.com/spreadsheets/d/16cywr71Fj4fA5OGRHsZh30ZG2gwJhMAQv69oVBzYHv0/edit?usp=share_link"",""สตูล!J704"")+IMP"&amp;"ORTRANGE(""https://docs.google.com/spreadsheets/d/1vO9Sws6kMtrVtyvrAJptINXjK8TFBoX9xLYOVK_C8bQ/edit?usp=share_link"",""สุราษฎร์ธานี!J704"")"),0)</f>
        <v>0</v>
      </c>
      <c r="K704" s="37"/>
      <c r="L704" s="37"/>
      <c r="M704" s="188"/>
      <c r="N704" s="765"/>
      <c r="O704" s="37"/>
      <c r="P704" s="37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20.25" customHeight="1">
      <c r="A705" s="743"/>
      <c r="B705" s="575"/>
      <c r="C705" s="575"/>
      <c r="D705" s="575"/>
      <c r="E705" s="576" t="s">
        <v>298</v>
      </c>
      <c r="F705" s="575"/>
      <c r="G705" s="188"/>
      <c r="H705" s="181" t="s">
        <v>35</v>
      </c>
      <c r="I705" s="764"/>
      <c r="J705" s="182">
        <f ca="1">IFERROR(__xludf.DUMMYFUNCTION("IMPORTRANGE(""https://docs.google.com/spreadsheets/d/1kC41EOXpGBFOW658Fs3oD8beYlym0-zO54WY-2Qnp9I/edit?usp=share_link"",""กระบี่!J705"")
+IMPORTRANGE(""https://docs.google.com/spreadsheets/d/1FbzMZY_f3MDiEuK7RpCQKrilJ_kpX0Wm7QBZ1L7EjIU/edit?usp=share_link"&amp;""",""ชุมพร!J705"")+IMPORTRANGE(""https://docs.google.com/spreadsheets/d/1v5sN-00LrXuhBxw4dkh2GrG_z4l5oAqOdJRBCsUyMaM/edit?usp=share_link"",""ตรัง!J705"")+IMPORTRANGE(""https://docs.google.com/spreadsheets/d/1T5rRTzFc79aSIvqnzkZNvwPstq829QYz_xALlO1Z0s8/edi"&amp;"t?usp=share_link"",""นครศรีธรรมราช!J705"")+IMPORTRANGE(""https://docs.google.com/spreadsheets/d/1BeghqumK0IvCmRd2QOy6_afsZq7ZtAGrSnVJy2u7WmY/edit?usp=share_link"",""นราธิวาส!J705"")+IMPORTRANGE(""https://docs.google.com/spreadsheets/d/1IwnW3-jjRf74MCLW-6P"&amp;"iFwMUffRQXZwZA7YM609NmRc/edit?usp=share_link"",""ปัตตานี!J705"")+IMPORTRANGE(""https://docs.google.com/spreadsheets/d/1vl4QWbWdFruual5o_wdo6ZSqXZ_it806oja4CctTLKs/edit?usp=share_link"",""พังงา!J705"")+IMPORTRANGE(""https://docs.google.com/spreadsheets/d/1"&amp;"b6QssHQp2FoAPSMKHOy273KNzAomaIKhtdlvuZ_zDNE/edit?usp=share_link"",""พัทลุง!J705"")+IMPORTRANGE(""https://docs.google.com/spreadsheets/d/1o7UZe4_OqlqtLDHrj01Z2YFRSZDf1DMy1n3XViHaxRc/edit?usp=share_link"",""ภูเก็ต!J705"")+IMPORTRANGE(""https://docs.google.c"&amp;"om/spreadsheets/d/1ctPm1vUzcUCPuOj9-eoHUD85PqINFqUB0TjdSWmR5-c/edit?usp=share_link"",""ยะลา!J705"")+IMPORTRANGE(""https://docs.google.com/spreadsheets/d/1YiDIE7Klmt8osgdapRqYWNr7iPGFSsiJqq46S7PYRE0/edit?usp=share_link"",""ระนอง!J705"")+IMPORTRANGE(""https"&amp;"://docs.google.com/spreadsheets/d/16o_4B-V7AWw_6E93bSpXj_XxVv1oVQctk-B6z1dNEWU/edit?usp=share_link"",""สงขลา!J705"")+IMPORTRANGE(""https://docs.google.com/spreadsheets/d/16cywr71Fj4fA5OGRHsZh30ZG2gwJhMAQv69oVBzYHv0/edit?usp=share_link"",""สตูล!J705"")+IMP"&amp;"ORTRANGE(""https://docs.google.com/spreadsheets/d/1vO9Sws6kMtrVtyvrAJptINXjK8TFBoX9xLYOVK_C8bQ/edit?usp=share_link"",""สุราษฎร์ธานี!J705"")"),0)</f>
        <v>0</v>
      </c>
      <c r="K705" s="37"/>
      <c r="L705" s="37"/>
      <c r="M705" s="188"/>
      <c r="N705" s="765"/>
      <c r="O705" s="37"/>
      <c r="P705" s="37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20.25" customHeight="1">
      <c r="A706" s="743"/>
      <c r="B706" s="575"/>
      <c r="C706" s="575"/>
      <c r="D706" s="575"/>
      <c r="E706" s="575"/>
      <c r="F706" s="575"/>
      <c r="G706" s="188"/>
      <c r="H706" s="181" t="s">
        <v>34</v>
      </c>
      <c r="I706" s="764"/>
      <c r="J706" s="182">
        <f ca="1">IFERROR(__xludf.DUMMYFUNCTION("IMPORTRANGE(""https://docs.google.com/spreadsheets/d/1kC41EOXpGBFOW658Fs3oD8beYlym0-zO54WY-2Qnp9I/edit?usp=share_link"",""กระบี่!J706"")
+IMPORTRANGE(""https://docs.google.com/spreadsheets/d/1FbzMZY_f3MDiEuK7RpCQKrilJ_kpX0Wm7QBZ1L7EjIU/edit?usp=share_link"&amp;""",""ชุมพร!J706"")+IMPORTRANGE(""https://docs.google.com/spreadsheets/d/1v5sN-00LrXuhBxw4dkh2GrG_z4l5oAqOdJRBCsUyMaM/edit?usp=share_link"",""ตรัง!J706"")+IMPORTRANGE(""https://docs.google.com/spreadsheets/d/1T5rRTzFc79aSIvqnzkZNvwPstq829QYz_xALlO1Z0s8/edi"&amp;"t?usp=share_link"",""นครศรีธรรมราช!J706"")+IMPORTRANGE(""https://docs.google.com/spreadsheets/d/1BeghqumK0IvCmRd2QOy6_afsZq7ZtAGrSnVJy2u7WmY/edit?usp=share_link"",""นราธิวาส!J706"")+IMPORTRANGE(""https://docs.google.com/spreadsheets/d/1IwnW3-jjRf74MCLW-6P"&amp;"iFwMUffRQXZwZA7YM609NmRc/edit?usp=share_link"",""ปัตตานี!J706"")+IMPORTRANGE(""https://docs.google.com/spreadsheets/d/1vl4QWbWdFruual5o_wdo6ZSqXZ_it806oja4CctTLKs/edit?usp=share_link"",""พังงา!J706"")+IMPORTRANGE(""https://docs.google.com/spreadsheets/d/1"&amp;"b6QssHQp2FoAPSMKHOy273KNzAomaIKhtdlvuZ_zDNE/edit?usp=share_link"",""พัทลุง!J706"")+IMPORTRANGE(""https://docs.google.com/spreadsheets/d/1o7UZe4_OqlqtLDHrj01Z2YFRSZDf1DMy1n3XViHaxRc/edit?usp=share_link"",""ภูเก็ต!J706"")+IMPORTRANGE(""https://docs.google.c"&amp;"om/spreadsheets/d/1ctPm1vUzcUCPuOj9-eoHUD85PqINFqUB0TjdSWmR5-c/edit?usp=share_link"",""ยะลา!J706"")+IMPORTRANGE(""https://docs.google.com/spreadsheets/d/1YiDIE7Klmt8osgdapRqYWNr7iPGFSsiJqq46S7PYRE0/edit?usp=share_link"",""ระนอง!J706"")+IMPORTRANGE(""https"&amp;"://docs.google.com/spreadsheets/d/16o_4B-V7AWw_6E93bSpXj_XxVv1oVQctk-B6z1dNEWU/edit?usp=share_link"",""สงขลา!J706"")+IMPORTRANGE(""https://docs.google.com/spreadsheets/d/16cywr71Fj4fA5OGRHsZh30ZG2gwJhMAQv69oVBzYHv0/edit?usp=share_link"",""สตูล!J706"")+IMP"&amp;"ORTRANGE(""https://docs.google.com/spreadsheets/d/1vO9Sws6kMtrVtyvrAJptINXjK8TFBoX9xLYOVK_C8bQ/edit?usp=share_link"",""สุราษฎร์ธานี!J706"")"),0)</f>
        <v>0</v>
      </c>
      <c r="K706" s="37"/>
      <c r="L706" s="37"/>
      <c r="M706" s="188"/>
      <c r="N706" s="765"/>
      <c r="O706" s="37"/>
      <c r="P706" s="37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20.25" customHeight="1">
      <c r="A707" s="743"/>
      <c r="B707" s="575"/>
      <c r="C707" s="575"/>
      <c r="D707" s="575"/>
      <c r="E707" s="575"/>
      <c r="F707" s="575"/>
      <c r="G707" s="188"/>
      <c r="H707" s="181" t="s">
        <v>46</v>
      </c>
      <c r="I707" s="764">
        <f ca="1">IFERROR(__xludf.DUMMYFUNCTION("IMPORTRANGE(""https://docs.google.com/spreadsheets/d/1kC41EOXpGBFOW658Fs3oD8beYlym0-zO54WY-2Qnp9I/edit?usp=share_link"",""กระบี่!I707"")
+IMPORTRANGE(""https://docs.google.com/spreadsheets/d/1FbzMZY_f3MDiEuK7RpCQKrilJ_kpX0Wm7QBZ1L7EjIU/edit?usp=share_link"&amp;""",""ชุมพร!I707"")+IMPORTRANGE(""https://docs.google.com/spreadsheets/d/1v5sN-00LrXuhBxw4dkh2GrG_z4l5oAqOdJRBCsUyMaM/edit?usp=share_link"",""ตรัง!I707"")+IMPORTRANGE(""https://docs.google.com/spreadsheets/d/1T5rRTzFc79aSIvqnzkZNvwPstq829QYz_xALlO1Z0s8/edi"&amp;"t?usp=share_link"",""นครศรีธรรมราช!I707"")+IMPORTRANGE(""https://docs.google.com/spreadsheets/d/1BeghqumK0IvCmRd2QOy6_afsZq7ZtAGrSnVJy2u7WmY/edit?usp=share_link"",""นราธิวาส!I707"")+IMPORTRANGE(""https://docs.google.com/spreadsheets/d/1IwnW3-jjRf74MCLW-6P"&amp;"iFwMUffRQXZwZA7YM609NmRc/edit?usp=share_link"",""ปัตตานี!I707"")+IMPORTRANGE(""https://docs.google.com/spreadsheets/d/1vl4QWbWdFruual5o_wdo6ZSqXZ_it806oja4CctTLKs/edit?usp=share_link"",""พังงา!I707"")+IMPORTRANGE(""https://docs.google.com/spreadsheets/d/1"&amp;"b6QssHQp2FoAPSMKHOy273KNzAomaIKhtdlvuZ_zDNE/edit?usp=share_link"",""พัทลุง!I707"")+IMPORTRANGE(""https://docs.google.com/spreadsheets/d/1o7UZe4_OqlqtLDHrj01Z2YFRSZDf1DMy1n3XViHaxRc/edit?usp=share_link"",""ภูเก็ต!I707"")+IMPORTRANGE(""https://docs.google.c"&amp;"om/spreadsheets/d/1ctPm1vUzcUCPuOj9-eoHUD85PqINFqUB0TjdSWmR5-c/edit?usp=share_link"",""ยะลา!I707"")+IMPORTRANGE(""https://docs.google.com/spreadsheets/d/1YiDIE7Klmt8osgdapRqYWNr7iPGFSsiJqq46S7PYRE0/edit?usp=share_link"",""ระนอง!I707"")+IMPORTRANGE(""https"&amp;"://docs.google.com/spreadsheets/d/16o_4B-V7AWw_6E93bSpXj_XxVv1oVQctk-B6z1dNEWU/edit?usp=share_link"",""สงขลา!I707"")+IMPORTRANGE(""https://docs.google.com/spreadsheets/d/16cywr71Fj4fA5OGRHsZh30ZG2gwJhMAQv69oVBzYHv0/edit?usp=share_link"",""สตูล!I707"")+IMP"&amp;"ORTRANGE(""https://docs.google.com/spreadsheets/d/1vO9Sws6kMtrVtyvrAJptINXjK8TFBoX9xLYOVK_C8bQ/edit?usp=share_link"",""สุราษฎร์ธานี!I707"")"),50)</f>
        <v>50</v>
      </c>
      <c r="J707" s="182">
        <f ca="1">IFERROR(__xludf.DUMMYFUNCTION("IMPORTRANGE(""https://docs.google.com/spreadsheets/d/1kC41EOXpGBFOW658Fs3oD8beYlym0-zO54WY-2Qnp9I/edit?usp=share_link"",""กระบี่!J707"")
+IMPORTRANGE(""https://docs.google.com/spreadsheets/d/1FbzMZY_f3MDiEuK7RpCQKrilJ_kpX0Wm7QBZ1L7EjIU/edit?usp=share_link"&amp;""",""ชุมพร!J707"")+IMPORTRANGE(""https://docs.google.com/spreadsheets/d/1v5sN-00LrXuhBxw4dkh2GrG_z4l5oAqOdJRBCsUyMaM/edit?usp=share_link"",""ตรัง!J707"")+IMPORTRANGE(""https://docs.google.com/spreadsheets/d/1T5rRTzFc79aSIvqnzkZNvwPstq829QYz_xALlO1Z0s8/edi"&amp;"t?usp=share_link"",""นครศรีธรรมราช!J707"")+IMPORTRANGE(""https://docs.google.com/spreadsheets/d/1BeghqumK0IvCmRd2QOy6_afsZq7ZtAGrSnVJy2u7WmY/edit?usp=share_link"",""นราธิวาส!J707"")+IMPORTRANGE(""https://docs.google.com/spreadsheets/d/1IwnW3-jjRf74MCLW-6P"&amp;"iFwMUffRQXZwZA7YM609NmRc/edit?usp=share_link"",""ปัตตานี!J707"")+IMPORTRANGE(""https://docs.google.com/spreadsheets/d/1vl4QWbWdFruual5o_wdo6ZSqXZ_it806oja4CctTLKs/edit?usp=share_link"",""พังงา!J707"")+IMPORTRANGE(""https://docs.google.com/spreadsheets/d/1"&amp;"b6QssHQp2FoAPSMKHOy273KNzAomaIKhtdlvuZ_zDNE/edit?usp=share_link"",""พัทลุง!J707"")+IMPORTRANGE(""https://docs.google.com/spreadsheets/d/1o7UZe4_OqlqtLDHrj01Z2YFRSZDf1DMy1n3XViHaxRc/edit?usp=share_link"",""ภูเก็ต!J707"")+IMPORTRANGE(""https://docs.google.c"&amp;"om/spreadsheets/d/1ctPm1vUzcUCPuOj9-eoHUD85PqINFqUB0TjdSWmR5-c/edit?usp=share_link"",""ยะลา!J707"")+IMPORTRANGE(""https://docs.google.com/spreadsheets/d/1YiDIE7Klmt8osgdapRqYWNr7iPGFSsiJqq46S7PYRE0/edit?usp=share_link"",""ระนอง!J707"")+IMPORTRANGE(""https"&amp;"://docs.google.com/spreadsheets/d/16o_4B-V7AWw_6E93bSpXj_XxVv1oVQctk-B6z1dNEWU/edit?usp=share_link"",""สงขลา!J707"")+IMPORTRANGE(""https://docs.google.com/spreadsheets/d/16cywr71Fj4fA5OGRHsZh30ZG2gwJhMAQv69oVBzYHv0/edit?usp=share_link"",""สตูล!J707"")+IMP"&amp;"ORTRANGE(""https://docs.google.com/spreadsheets/d/1vO9Sws6kMtrVtyvrAJptINXjK8TFBoX9xLYOVK_C8bQ/edit?usp=share_link"",""สุราษฎร์ธานี!J707"")"),0)</f>
        <v>0</v>
      </c>
      <c r="K707" s="37"/>
      <c r="L707" s="37"/>
      <c r="M707" s="188"/>
      <c r="N707" s="765"/>
      <c r="O707" s="37"/>
      <c r="P707" s="37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20.25" customHeight="1">
      <c r="A708" s="743"/>
      <c r="B708" s="575"/>
      <c r="C708" s="575"/>
      <c r="D708" s="768" t="s">
        <v>299</v>
      </c>
      <c r="E708" s="575"/>
      <c r="F708" s="575"/>
      <c r="G708" s="188"/>
      <c r="H708" s="191" t="s">
        <v>46</v>
      </c>
      <c r="I708" s="767">
        <f ca="1">IFERROR(__xludf.DUMMYFUNCTION("IMPORTRANGE(""https://docs.google.com/spreadsheets/d/1kC41EOXpGBFOW658Fs3oD8beYlym0-zO54WY-2Qnp9I/edit?usp=share_link"",""กระบี่!I708"")
+IMPORTRANGE(""https://docs.google.com/spreadsheets/d/1FbzMZY_f3MDiEuK7RpCQKrilJ_kpX0Wm7QBZ1L7EjIU/edit?usp=share_link"&amp;""",""ชุมพร!I708"")+IMPORTRANGE(""https://docs.google.com/spreadsheets/d/1v5sN-00LrXuhBxw4dkh2GrG_z4l5oAqOdJRBCsUyMaM/edit?usp=share_link"",""ตรัง!I708"")+IMPORTRANGE(""https://docs.google.com/spreadsheets/d/1T5rRTzFc79aSIvqnzkZNvwPstq829QYz_xALlO1Z0s8/edi"&amp;"t?usp=share_link"",""นครศรีธรรมราช!I708"")+IMPORTRANGE(""https://docs.google.com/spreadsheets/d/1BeghqumK0IvCmRd2QOy6_afsZq7ZtAGrSnVJy2u7WmY/edit?usp=share_link"",""นราธิวาส!I708"")+IMPORTRANGE(""https://docs.google.com/spreadsheets/d/1IwnW3-jjRf74MCLW-6P"&amp;"iFwMUffRQXZwZA7YM609NmRc/edit?usp=share_link"",""ปัตตานี!I708"")+IMPORTRANGE(""https://docs.google.com/spreadsheets/d/1vl4QWbWdFruual5o_wdo6ZSqXZ_it806oja4CctTLKs/edit?usp=share_link"",""พังงา!I708"")+IMPORTRANGE(""https://docs.google.com/spreadsheets/d/1"&amp;"b6QssHQp2FoAPSMKHOy273KNzAomaIKhtdlvuZ_zDNE/edit?usp=share_link"",""พัทลุง!I708"")+IMPORTRANGE(""https://docs.google.com/spreadsheets/d/1o7UZe4_OqlqtLDHrj01Z2YFRSZDf1DMy1n3XViHaxRc/edit?usp=share_link"",""ภูเก็ต!I708"")+IMPORTRANGE(""https://docs.google.c"&amp;"om/spreadsheets/d/1ctPm1vUzcUCPuOj9-eoHUD85PqINFqUB0TjdSWmR5-c/edit?usp=share_link"",""ยะลา!I708"")+IMPORTRANGE(""https://docs.google.com/spreadsheets/d/1YiDIE7Klmt8osgdapRqYWNr7iPGFSsiJqq46S7PYRE0/edit?usp=share_link"",""ระนอง!I708"")+IMPORTRANGE(""https"&amp;"://docs.google.com/spreadsheets/d/16o_4B-V7AWw_6E93bSpXj_XxVv1oVQctk-B6z1dNEWU/edit?usp=share_link"",""สงขลา!I708"")+IMPORTRANGE(""https://docs.google.com/spreadsheets/d/16cywr71Fj4fA5OGRHsZh30ZG2gwJhMAQv69oVBzYHv0/edit?usp=share_link"",""สตูล!I708"")+IMP"&amp;"ORTRANGE(""https://docs.google.com/spreadsheets/d/1vO9Sws6kMtrVtyvrAJptINXjK8TFBoX9xLYOVK_C8bQ/edit?usp=share_link"",""สุราษฎร์ธานี!I708"")"),0)</f>
        <v>0</v>
      </c>
      <c r="J708" s="193">
        <f ca="1">J714+J717</f>
        <v>0</v>
      </c>
      <c r="K708" s="194">
        <f ca="1">IF(I708&gt;0,J708*100/I708,0)</f>
        <v>0</v>
      </c>
      <c r="L708" s="37"/>
      <c r="M708" s="188"/>
      <c r="N708" s="765"/>
      <c r="O708" s="37"/>
      <c r="P708" s="37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20.25" customHeight="1">
      <c r="A709" s="743"/>
      <c r="B709" s="575"/>
      <c r="C709" s="575"/>
      <c r="D709" s="575"/>
      <c r="E709" s="576" t="s">
        <v>300</v>
      </c>
      <c r="F709" s="575"/>
      <c r="G709" s="188"/>
      <c r="H709" s="181" t="s">
        <v>34</v>
      </c>
      <c r="I709" s="764"/>
      <c r="J709" s="182">
        <f ca="1">IFERROR(__xludf.DUMMYFUNCTION("IMPORTRANGE(""https://docs.google.com/spreadsheets/d/1kC41EOXpGBFOW658Fs3oD8beYlym0-zO54WY-2Qnp9I/edit?usp=share_link"",""กระบี่!J709"")
+IMPORTRANGE(""https://docs.google.com/spreadsheets/d/1FbzMZY_f3MDiEuK7RpCQKrilJ_kpX0Wm7QBZ1L7EjIU/edit?usp=share_link"&amp;""",""ชุมพร!J709"")+IMPORTRANGE(""https://docs.google.com/spreadsheets/d/1v5sN-00LrXuhBxw4dkh2GrG_z4l5oAqOdJRBCsUyMaM/edit?usp=share_link"",""ตรัง!J709"")+IMPORTRANGE(""https://docs.google.com/spreadsheets/d/1T5rRTzFc79aSIvqnzkZNvwPstq829QYz_xALlO1Z0s8/edi"&amp;"t?usp=share_link"",""นครศรีธรรมราช!J709"")+IMPORTRANGE(""https://docs.google.com/spreadsheets/d/1BeghqumK0IvCmRd2QOy6_afsZq7ZtAGrSnVJy2u7WmY/edit?usp=share_link"",""นราธิวาส!J709"")+IMPORTRANGE(""https://docs.google.com/spreadsheets/d/1IwnW3-jjRf74MCLW-6P"&amp;"iFwMUffRQXZwZA7YM609NmRc/edit?usp=share_link"",""ปัตตานี!J709"")+IMPORTRANGE(""https://docs.google.com/spreadsheets/d/1vl4QWbWdFruual5o_wdo6ZSqXZ_it806oja4CctTLKs/edit?usp=share_link"",""พังงา!J709"")+IMPORTRANGE(""https://docs.google.com/spreadsheets/d/1"&amp;"b6QssHQp2FoAPSMKHOy273KNzAomaIKhtdlvuZ_zDNE/edit?usp=share_link"",""พัทลุง!J709"")+IMPORTRANGE(""https://docs.google.com/spreadsheets/d/1o7UZe4_OqlqtLDHrj01Z2YFRSZDf1DMy1n3XViHaxRc/edit?usp=share_link"",""ภูเก็ต!J709"")+IMPORTRANGE(""https://docs.google.c"&amp;"om/spreadsheets/d/1ctPm1vUzcUCPuOj9-eoHUD85PqINFqUB0TjdSWmR5-c/edit?usp=share_link"",""ยะลา!J709"")+IMPORTRANGE(""https://docs.google.com/spreadsheets/d/1YiDIE7Klmt8osgdapRqYWNr7iPGFSsiJqq46S7PYRE0/edit?usp=share_link"",""ระนอง!J709"")+IMPORTRANGE(""https"&amp;"://docs.google.com/spreadsheets/d/16o_4B-V7AWw_6E93bSpXj_XxVv1oVQctk-B6z1dNEWU/edit?usp=share_link"",""สงขลา!J709"")+IMPORTRANGE(""https://docs.google.com/spreadsheets/d/16cywr71Fj4fA5OGRHsZh30ZG2gwJhMAQv69oVBzYHv0/edit?usp=share_link"",""สตูล!J709"")+IMP"&amp;"ORTRANGE(""https://docs.google.com/spreadsheets/d/1vO9Sws6kMtrVtyvrAJptINXjK8TFBoX9xLYOVK_C8bQ/edit?usp=share_link"",""สุราษฎร์ธานี!J709"")"),0)</f>
        <v>0</v>
      </c>
      <c r="K709" s="37"/>
      <c r="L709" s="765"/>
      <c r="M709" s="188"/>
      <c r="N709" s="765"/>
      <c r="O709" s="37"/>
      <c r="P709" s="37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20.25" customHeight="1">
      <c r="A710" s="743"/>
      <c r="B710" s="575"/>
      <c r="C710" s="575"/>
      <c r="D710" s="575"/>
      <c r="E710" s="575"/>
      <c r="F710" s="575"/>
      <c r="G710" s="188"/>
      <c r="H710" s="181" t="s">
        <v>46</v>
      </c>
      <c r="I710" s="764"/>
      <c r="J710" s="182">
        <f ca="1">IFERROR(__xludf.DUMMYFUNCTION("IMPORTRANGE(""https://docs.google.com/spreadsheets/d/1kC41EOXpGBFOW658Fs3oD8beYlym0-zO54WY-2Qnp9I/edit?usp=share_link"",""กระบี่!J710"")
+IMPORTRANGE(""https://docs.google.com/spreadsheets/d/1FbzMZY_f3MDiEuK7RpCQKrilJ_kpX0Wm7QBZ1L7EjIU/edit?usp=share_link"&amp;""",""ชุมพร!J710"")+IMPORTRANGE(""https://docs.google.com/spreadsheets/d/1v5sN-00LrXuhBxw4dkh2GrG_z4l5oAqOdJRBCsUyMaM/edit?usp=share_link"",""ตรัง!J710"")+IMPORTRANGE(""https://docs.google.com/spreadsheets/d/1T5rRTzFc79aSIvqnzkZNvwPstq829QYz_xALlO1Z0s8/edi"&amp;"t?usp=share_link"",""นครศรีธรรมราช!J710"")+IMPORTRANGE(""https://docs.google.com/spreadsheets/d/1BeghqumK0IvCmRd2QOy6_afsZq7ZtAGrSnVJy2u7WmY/edit?usp=share_link"",""นราธิวาส!J710"")+IMPORTRANGE(""https://docs.google.com/spreadsheets/d/1IwnW3-jjRf74MCLW-6P"&amp;"iFwMUffRQXZwZA7YM609NmRc/edit?usp=share_link"",""ปัตตานี!J710"")+IMPORTRANGE(""https://docs.google.com/spreadsheets/d/1vl4QWbWdFruual5o_wdo6ZSqXZ_it806oja4CctTLKs/edit?usp=share_link"",""พังงา!J710"")+IMPORTRANGE(""https://docs.google.com/spreadsheets/d/1"&amp;"b6QssHQp2FoAPSMKHOy273KNzAomaIKhtdlvuZ_zDNE/edit?usp=share_link"",""พัทลุง!J710"")+IMPORTRANGE(""https://docs.google.com/spreadsheets/d/1o7UZe4_OqlqtLDHrj01Z2YFRSZDf1DMy1n3XViHaxRc/edit?usp=share_link"",""ภูเก็ต!J710"")+IMPORTRANGE(""https://docs.google.c"&amp;"om/spreadsheets/d/1ctPm1vUzcUCPuOj9-eoHUD85PqINFqUB0TjdSWmR5-c/edit?usp=share_link"",""ยะลา!J710"")+IMPORTRANGE(""https://docs.google.com/spreadsheets/d/1YiDIE7Klmt8osgdapRqYWNr7iPGFSsiJqq46S7PYRE0/edit?usp=share_link"",""ระนอง!J710"")+IMPORTRANGE(""https"&amp;"://docs.google.com/spreadsheets/d/16o_4B-V7AWw_6E93bSpXj_XxVv1oVQctk-B6z1dNEWU/edit?usp=share_link"",""สงขลา!J710"")+IMPORTRANGE(""https://docs.google.com/spreadsheets/d/16cywr71Fj4fA5OGRHsZh30ZG2gwJhMAQv69oVBzYHv0/edit?usp=share_link"",""สตูล!J710"")+IMP"&amp;"ORTRANGE(""https://docs.google.com/spreadsheets/d/1vO9Sws6kMtrVtyvrAJptINXjK8TFBoX9xLYOVK_C8bQ/edit?usp=share_link"",""สุราษฎร์ธานี!J710"")"),0)</f>
        <v>0</v>
      </c>
      <c r="K710" s="37"/>
      <c r="L710" s="765"/>
      <c r="M710" s="188"/>
      <c r="N710" s="765"/>
      <c r="O710" s="37"/>
      <c r="P710" s="37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20.25" customHeight="1">
      <c r="A711" s="743"/>
      <c r="B711" s="575"/>
      <c r="C711" s="575"/>
      <c r="D711" s="575"/>
      <c r="E711" s="576" t="s">
        <v>301</v>
      </c>
      <c r="F711" s="575"/>
      <c r="G711" s="188"/>
      <c r="H711" s="174"/>
      <c r="I711" s="764"/>
      <c r="J711" s="36"/>
      <c r="K711" s="37"/>
      <c r="L711" s="765"/>
      <c r="M711" s="188"/>
      <c r="N711" s="765"/>
      <c r="O711" s="37"/>
      <c r="P711" s="37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20.25" customHeight="1">
      <c r="A712" s="743"/>
      <c r="B712" s="575"/>
      <c r="C712" s="575"/>
      <c r="D712" s="575"/>
      <c r="E712" s="575"/>
      <c r="F712" s="576" t="s">
        <v>302</v>
      </c>
      <c r="G712" s="188"/>
      <c r="H712" s="181" t="s">
        <v>35</v>
      </c>
      <c r="I712" s="764"/>
      <c r="J712" s="182">
        <f ca="1">IFERROR(__xludf.DUMMYFUNCTION("IMPORTRANGE(""https://docs.google.com/spreadsheets/d/1kC41EOXpGBFOW658Fs3oD8beYlym0-zO54WY-2Qnp9I/edit?usp=share_link"",""กระบี่!J712"")
+IMPORTRANGE(""https://docs.google.com/spreadsheets/d/1FbzMZY_f3MDiEuK7RpCQKrilJ_kpX0Wm7QBZ1L7EjIU/edit?usp=share_link"&amp;""",""ชุมพร!J712"")+IMPORTRANGE(""https://docs.google.com/spreadsheets/d/1v5sN-00LrXuhBxw4dkh2GrG_z4l5oAqOdJRBCsUyMaM/edit?usp=share_link"",""ตรัง!J712"")+IMPORTRANGE(""https://docs.google.com/spreadsheets/d/1T5rRTzFc79aSIvqnzkZNvwPstq829QYz_xALlO1Z0s8/edi"&amp;"t?usp=share_link"",""นครศรีธรรมราช!J712"")+IMPORTRANGE(""https://docs.google.com/spreadsheets/d/1BeghqumK0IvCmRd2QOy6_afsZq7ZtAGrSnVJy2u7WmY/edit?usp=share_link"",""นราธิวาส!J712"")+IMPORTRANGE(""https://docs.google.com/spreadsheets/d/1IwnW3-jjRf74MCLW-6P"&amp;"iFwMUffRQXZwZA7YM609NmRc/edit?usp=share_link"",""ปัตตานี!J712"")+IMPORTRANGE(""https://docs.google.com/spreadsheets/d/1vl4QWbWdFruual5o_wdo6ZSqXZ_it806oja4CctTLKs/edit?usp=share_link"",""พังงา!J712"")+IMPORTRANGE(""https://docs.google.com/spreadsheets/d/1"&amp;"b6QssHQp2FoAPSMKHOy273KNzAomaIKhtdlvuZ_zDNE/edit?usp=share_link"",""พัทลุง!J712"")+IMPORTRANGE(""https://docs.google.com/spreadsheets/d/1o7UZe4_OqlqtLDHrj01Z2YFRSZDf1DMy1n3XViHaxRc/edit?usp=share_link"",""ภูเก็ต!J712"")+IMPORTRANGE(""https://docs.google.c"&amp;"om/spreadsheets/d/1ctPm1vUzcUCPuOj9-eoHUD85PqINFqUB0TjdSWmR5-c/edit?usp=share_link"",""ยะลา!J712"")+IMPORTRANGE(""https://docs.google.com/spreadsheets/d/1YiDIE7Klmt8osgdapRqYWNr7iPGFSsiJqq46S7PYRE0/edit?usp=share_link"",""ระนอง!J712"")+IMPORTRANGE(""https"&amp;"://docs.google.com/spreadsheets/d/16o_4B-V7AWw_6E93bSpXj_XxVv1oVQctk-B6z1dNEWU/edit?usp=share_link"",""สงขลา!J712"")+IMPORTRANGE(""https://docs.google.com/spreadsheets/d/16cywr71Fj4fA5OGRHsZh30ZG2gwJhMAQv69oVBzYHv0/edit?usp=share_link"",""สตูล!J712"")+IMP"&amp;"ORTRANGE(""https://docs.google.com/spreadsheets/d/1vO9Sws6kMtrVtyvrAJptINXjK8TFBoX9xLYOVK_C8bQ/edit?usp=share_link"",""สุราษฎร์ธานี!J712"")"),0)</f>
        <v>0</v>
      </c>
      <c r="K712" s="37"/>
      <c r="L712" s="765"/>
      <c r="M712" s="188"/>
      <c r="N712" s="765"/>
      <c r="O712" s="37"/>
      <c r="P712" s="37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20.25" customHeight="1">
      <c r="A713" s="743"/>
      <c r="B713" s="575"/>
      <c r="C713" s="575"/>
      <c r="D713" s="575"/>
      <c r="E713" s="575"/>
      <c r="F713" s="575"/>
      <c r="G713" s="188"/>
      <c r="H713" s="181" t="s">
        <v>34</v>
      </c>
      <c r="I713" s="764"/>
      <c r="J713" s="182">
        <f ca="1">IFERROR(__xludf.DUMMYFUNCTION("IMPORTRANGE(""https://docs.google.com/spreadsheets/d/1kC41EOXpGBFOW658Fs3oD8beYlym0-zO54WY-2Qnp9I/edit?usp=share_link"",""กระบี่!J713"")
+IMPORTRANGE(""https://docs.google.com/spreadsheets/d/1FbzMZY_f3MDiEuK7RpCQKrilJ_kpX0Wm7QBZ1L7EjIU/edit?usp=share_link"&amp;""",""ชุมพร!J713"")+IMPORTRANGE(""https://docs.google.com/spreadsheets/d/1v5sN-00LrXuhBxw4dkh2GrG_z4l5oAqOdJRBCsUyMaM/edit?usp=share_link"",""ตรัง!J713"")+IMPORTRANGE(""https://docs.google.com/spreadsheets/d/1T5rRTzFc79aSIvqnzkZNvwPstq829QYz_xALlO1Z0s8/edi"&amp;"t?usp=share_link"",""นครศรีธรรมราช!J713"")+IMPORTRANGE(""https://docs.google.com/spreadsheets/d/1BeghqumK0IvCmRd2QOy6_afsZq7ZtAGrSnVJy2u7WmY/edit?usp=share_link"",""นราธิวาส!J713"")+IMPORTRANGE(""https://docs.google.com/spreadsheets/d/1IwnW3-jjRf74MCLW-6P"&amp;"iFwMUffRQXZwZA7YM609NmRc/edit?usp=share_link"",""ปัตตานี!J713"")+IMPORTRANGE(""https://docs.google.com/spreadsheets/d/1vl4QWbWdFruual5o_wdo6ZSqXZ_it806oja4CctTLKs/edit?usp=share_link"",""พังงา!J713"")+IMPORTRANGE(""https://docs.google.com/spreadsheets/d/1"&amp;"b6QssHQp2FoAPSMKHOy273KNzAomaIKhtdlvuZ_zDNE/edit?usp=share_link"",""พัทลุง!J713"")+IMPORTRANGE(""https://docs.google.com/spreadsheets/d/1o7UZe4_OqlqtLDHrj01Z2YFRSZDf1DMy1n3XViHaxRc/edit?usp=share_link"",""ภูเก็ต!J713"")+IMPORTRANGE(""https://docs.google.c"&amp;"om/spreadsheets/d/1ctPm1vUzcUCPuOj9-eoHUD85PqINFqUB0TjdSWmR5-c/edit?usp=share_link"",""ยะลา!J713"")+IMPORTRANGE(""https://docs.google.com/spreadsheets/d/1YiDIE7Klmt8osgdapRqYWNr7iPGFSsiJqq46S7PYRE0/edit?usp=share_link"",""ระนอง!J713"")+IMPORTRANGE(""https"&amp;"://docs.google.com/spreadsheets/d/16o_4B-V7AWw_6E93bSpXj_XxVv1oVQctk-B6z1dNEWU/edit?usp=share_link"",""สงขลา!J713"")+IMPORTRANGE(""https://docs.google.com/spreadsheets/d/16cywr71Fj4fA5OGRHsZh30ZG2gwJhMAQv69oVBzYHv0/edit?usp=share_link"",""สตูล!J713"")+IMP"&amp;"ORTRANGE(""https://docs.google.com/spreadsheets/d/1vO9Sws6kMtrVtyvrAJptINXjK8TFBoX9xLYOVK_C8bQ/edit?usp=share_link"",""สุราษฎร์ธานี!J713"")"),0)</f>
        <v>0</v>
      </c>
      <c r="K713" s="37"/>
      <c r="L713" s="765"/>
      <c r="M713" s="188"/>
      <c r="N713" s="765"/>
      <c r="O713" s="37"/>
      <c r="P713" s="37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20.25" customHeight="1">
      <c r="A714" s="743"/>
      <c r="B714" s="575"/>
      <c r="C714" s="575"/>
      <c r="D714" s="575"/>
      <c r="E714" s="575"/>
      <c r="F714" s="575"/>
      <c r="G714" s="188"/>
      <c r="H714" s="181" t="s">
        <v>46</v>
      </c>
      <c r="I714" s="764"/>
      <c r="J714" s="182">
        <f ca="1">IFERROR(__xludf.DUMMYFUNCTION("IMPORTRANGE(""https://docs.google.com/spreadsheets/d/1kC41EOXpGBFOW658Fs3oD8beYlym0-zO54WY-2Qnp9I/edit?usp=share_link"",""กระบี่!J714"")
+IMPORTRANGE(""https://docs.google.com/spreadsheets/d/1FbzMZY_f3MDiEuK7RpCQKrilJ_kpX0Wm7QBZ1L7EjIU/edit?usp=share_link"&amp;""",""ชุมพร!J714"")+IMPORTRANGE(""https://docs.google.com/spreadsheets/d/1v5sN-00LrXuhBxw4dkh2GrG_z4l5oAqOdJRBCsUyMaM/edit?usp=share_link"",""ตรัง!J714"")+IMPORTRANGE(""https://docs.google.com/spreadsheets/d/1T5rRTzFc79aSIvqnzkZNvwPstq829QYz_xALlO1Z0s8/edi"&amp;"t?usp=share_link"",""นครศรีธรรมราช!J714"")+IMPORTRANGE(""https://docs.google.com/spreadsheets/d/1BeghqumK0IvCmRd2QOy6_afsZq7ZtAGrSnVJy2u7WmY/edit?usp=share_link"",""นราธิวาส!J714"")+IMPORTRANGE(""https://docs.google.com/spreadsheets/d/1IwnW3-jjRf74MCLW-6P"&amp;"iFwMUffRQXZwZA7YM609NmRc/edit?usp=share_link"",""ปัตตานี!J714"")+IMPORTRANGE(""https://docs.google.com/spreadsheets/d/1vl4QWbWdFruual5o_wdo6ZSqXZ_it806oja4CctTLKs/edit?usp=share_link"",""พังงา!J714"")+IMPORTRANGE(""https://docs.google.com/spreadsheets/d/1"&amp;"b6QssHQp2FoAPSMKHOy273KNzAomaIKhtdlvuZ_zDNE/edit?usp=share_link"",""พัทลุง!J714"")+IMPORTRANGE(""https://docs.google.com/spreadsheets/d/1o7UZe4_OqlqtLDHrj01Z2YFRSZDf1DMy1n3XViHaxRc/edit?usp=share_link"",""ภูเก็ต!J714"")+IMPORTRANGE(""https://docs.google.c"&amp;"om/spreadsheets/d/1ctPm1vUzcUCPuOj9-eoHUD85PqINFqUB0TjdSWmR5-c/edit?usp=share_link"",""ยะลา!J714"")+IMPORTRANGE(""https://docs.google.com/spreadsheets/d/1YiDIE7Klmt8osgdapRqYWNr7iPGFSsiJqq46S7PYRE0/edit?usp=share_link"",""ระนอง!J714"")+IMPORTRANGE(""https"&amp;"://docs.google.com/spreadsheets/d/16o_4B-V7AWw_6E93bSpXj_XxVv1oVQctk-B6z1dNEWU/edit?usp=share_link"",""สงขลา!J714"")+IMPORTRANGE(""https://docs.google.com/spreadsheets/d/16cywr71Fj4fA5OGRHsZh30ZG2gwJhMAQv69oVBzYHv0/edit?usp=share_link"",""สตูล!J714"")+IMP"&amp;"ORTRANGE(""https://docs.google.com/spreadsheets/d/1vO9Sws6kMtrVtyvrAJptINXjK8TFBoX9xLYOVK_C8bQ/edit?usp=share_link"",""สุราษฎร์ธานี!J714"")"),0)</f>
        <v>0</v>
      </c>
      <c r="K714" s="37"/>
      <c r="L714" s="765"/>
      <c r="M714" s="188"/>
      <c r="N714" s="765"/>
      <c r="O714" s="37"/>
      <c r="P714" s="37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20.25" customHeight="1">
      <c r="A715" s="743"/>
      <c r="B715" s="575"/>
      <c r="C715" s="575"/>
      <c r="D715" s="575"/>
      <c r="E715" s="575"/>
      <c r="F715" s="576" t="s">
        <v>303</v>
      </c>
      <c r="G715" s="188"/>
      <c r="H715" s="181" t="s">
        <v>35</v>
      </c>
      <c r="I715" s="764"/>
      <c r="J715" s="182">
        <f ca="1">IFERROR(__xludf.DUMMYFUNCTION("IMPORTRANGE(""https://docs.google.com/spreadsheets/d/1kC41EOXpGBFOW658Fs3oD8beYlym0-zO54WY-2Qnp9I/edit?usp=share_link"",""กระบี่!J715"")
+IMPORTRANGE(""https://docs.google.com/spreadsheets/d/1FbzMZY_f3MDiEuK7RpCQKrilJ_kpX0Wm7QBZ1L7EjIU/edit?usp=share_link"&amp;""",""ชุมพร!J715"")+IMPORTRANGE(""https://docs.google.com/spreadsheets/d/1v5sN-00LrXuhBxw4dkh2GrG_z4l5oAqOdJRBCsUyMaM/edit?usp=share_link"",""ตรัง!J715"")+IMPORTRANGE(""https://docs.google.com/spreadsheets/d/1T5rRTzFc79aSIvqnzkZNvwPstq829QYz_xALlO1Z0s8/edi"&amp;"t?usp=share_link"",""นครศรีธรรมราช!J715"")+IMPORTRANGE(""https://docs.google.com/spreadsheets/d/1BeghqumK0IvCmRd2QOy6_afsZq7ZtAGrSnVJy2u7WmY/edit?usp=share_link"",""นราธิวาส!J715"")+IMPORTRANGE(""https://docs.google.com/spreadsheets/d/1IwnW3-jjRf74MCLW-6P"&amp;"iFwMUffRQXZwZA7YM609NmRc/edit?usp=share_link"",""ปัตตานี!J715"")+IMPORTRANGE(""https://docs.google.com/spreadsheets/d/1vl4QWbWdFruual5o_wdo6ZSqXZ_it806oja4CctTLKs/edit?usp=share_link"",""พังงา!J715"")+IMPORTRANGE(""https://docs.google.com/spreadsheets/d/1"&amp;"b6QssHQp2FoAPSMKHOy273KNzAomaIKhtdlvuZ_zDNE/edit?usp=share_link"",""พัทลุง!J715"")+IMPORTRANGE(""https://docs.google.com/spreadsheets/d/1o7UZe4_OqlqtLDHrj01Z2YFRSZDf1DMy1n3XViHaxRc/edit?usp=share_link"",""ภูเก็ต!J715"")+IMPORTRANGE(""https://docs.google.c"&amp;"om/spreadsheets/d/1ctPm1vUzcUCPuOj9-eoHUD85PqINFqUB0TjdSWmR5-c/edit?usp=share_link"",""ยะลา!J715"")+IMPORTRANGE(""https://docs.google.com/spreadsheets/d/1YiDIE7Klmt8osgdapRqYWNr7iPGFSsiJqq46S7PYRE0/edit?usp=share_link"",""ระนอง!J715"")+IMPORTRANGE(""https"&amp;"://docs.google.com/spreadsheets/d/16o_4B-V7AWw_6E93bSpXj_XxVv1oVQctk-B6z1dNEWU/edit?usp=share_link"",""สงขลา!J715"")+IMPORTRANGE(""https://docs.google.com/spreadsheets/d/16cywr71Fj4fA5OGRHsZh30ZG2gwJhMAQv69oVBzYHv0/edit?usp=share_link"",""สตูล!J715"")+IMP"&amp;"ORTRANGE(""https://docs.google.com/spreadsheets/d/1vO9Sws6kMtrVtyvrAJptINXjK8TFBoX9xLYOVK_C8bQ/edit?usp=share_link"",""สุราษฎร์ธานี!J715"")"),0)</f>
        <v>0</v>
      </c>
      <c r="K715" s="37"/>
      <c r="L715" s="765"/>
      <c r="M715" s="188"/>
      <c r="N715" s="765"/>
      <c r="O715" s="37"/>
      <c r="P715" s="37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20.25" customHeight="1">
      <c r="A716" s="743"/>
      <c r="B716" s="575"/>
      <c r="C716" s="575"/>
      <c r="D716" s="575"/>
      <c r="E716" s="575"/>
      <c r="F716" s="575"/>
      <c r="G716" s="188"/>
      <c r="H716" s="181" t="s">
        <v>34</v>
      </c>
      <c r="I716" s="764"/>
      <c r="J716" s="182">
        <f ca="1">IFERROR(__xludf.DUMMYFUNCTION("IMPORTRANGE(""https://docs.google.com/spreadsheets/d/1kC41EOXpGBFOW658Fs3oD8beYlym0-zO54WY-2Qnp9I/edit?usp=share_link"",""กระบี่!J716"")
+IMPORTRANGE(""https://docs.google.com/spreadsheets/d/1FbzMZY_f3MDiEuK7RpCQKrilJ_kpX0Wm7QBZ1L7EjIU/edit?usp=share_link"&amp;""",""ชุมพร!J716"")+IMPORTRANGE(""https://docs.google.com/spreadsheets/d/1v5sN-00LrXuhBxw4dkh2GrG_z4l5oAqOdJRBCsUyMaM/edit?usp=share_link"",""ตรัง!J716"")+IMPORTRANGE(""https://docs.google.com/spreadsheets/d/1T5rRTzFc79aSIvqnzkZNvwPstq829QYz_xALlO1Z0s8/edi"&amp;"t?usp=share_link"",""นครศรีธรรมราช!J716"")+IMPORTRANGE(""https://docs.google.com/spreadsheets/d/1BeghqumK0IvCmRd2QOy6_afsZq7ZtAGrSnVJy2u7WmY/edit?usp=share_link"",""นราธิวาส!J716"")+IMPORTRANGE(""https://docs.google.com/spreadsheets/d/1IwnW3-jjRf74MCLW-6P"&amp;"iFwMUffRQXZwZA7YM609NmRc/edit?usp=share_link"",""ปัตตานี!J716"")+IMPORTRANGE(""https://docs.google.com/spreadsheets/d/1vl4QWbWdFruual5o_wdo6ZSqXZ_it806oja4CctTLKs/edit?usp=share_link"",""พังงา!J716"")+IMPORTRANGE(""https://docs.google.com/spreadsheets/d/1"&amp;"b6QssHQp2FoAPSMKHOy273KNzAomaIKhtdlvuZ_zDNE/edit?usp=share_link"",""พัทลุง!J716"")+IMPORTRANGE(""https://docs.google.com/spreadsheets/d/1o7UZe4_OqlqtLDHrj01Z2YFRSZDf1DMy1n3XViHaxRc/edit?usp=share_link"",""ภูเก็ต!J716"")+IMPORTRANGE(""https://docs.google.c"&amp;"om/spreadsheets/d/1ctPm1vUzcUCPuOj9-eoHUD85PqINFqUB0TjdSWmR5-c/edit?usp=share_link"",""ยะลา!J716"")+IMPORTRANGE(""https://docs.google.com/spreadsheets/d/1YiDIE7Klmt8osgdapRqYWNr7iPGFSsiJqq46S7PYRE0/edit?usp=share_link"",""ระนอง!J716"")+IMPORTRANGE(""https"&amp;"://docs.google.com/spreadsheets/d/16o_4B-V7AWw_6E93bSpXj_XxVv1oVQctk-B6z1dNEWU/edit?usp=share_link"",""สงขลา!J716"")+IMPORTRANGE(""https://docs.google.com/spreadsheets/d/16cywr71Fj4fA5OGRHsZh30ZG2gwJhMAQv69oVBzYHv0/edit?usp=share_link"",""สตูล!J716"")+IMP"&amp;"ORTRANGE(""https://docs.google.com/spreadsheets/d/1vO9Sws6kMtrVtyvrAJptINXjK8TFBoX9xLYOVK_C8bQ/edit?usp=share_link"",""สุราษฎร์ธานี!J716"")"),0)</f>
        <v>0</v>
      </c>
      <c r="K716" s="37"/>
      <c r="L716" s="765"/>
      <c r="M716" s="188"/>
      <c r="N716" s="765"/>
      <c r="O716" s="37"/>
      <c r="P716" s="37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20.25" customHeight="1">
      <c r="A717" s="743"/>
      <c r="B717" s="575"/>
      <c r="C717" s="575"/>
      <c r="D717" s="575"/>
      <c r="E717" s="575"/>
      <c r="F717" s="575"/>
      <c r="G717" s="188"/>
      <c r="H717" s="181" t="s">
        <v>46</v>
      </c>
      <c r="I717" s="764"/>
      <c r="J717" s="182">
        <f ca="1">IFERROR(__xludf.DUMMYFUNCTION("IMPORTRANGE(""https://docs.google.com/spreadsheets/d/1kC41EOXpGBFOW658Fs3oD8beYlym0-zO54WY-2Qnp9I/edit?usp=share_link"",""กระบี่!J717"")
+IMPORTRANGE(""https://docs.google.com/spreadsheets/d/1FbzMZY_f3MDiEuK7RpCQKrilJ_kpX0Wm7QBZ1L7EjIU/edit?usp=share_link"&amp;""",""ชุมพร!J717"")+IMPORTRANGE(""https://docs.google.com/spreadsheets/d/1v5sN-00LrXuhBxw4dkh2GrG_z4l5oAqOdJRBCsUyMaM/edit?usp=share_link"",""ตรัง!J717"")+IMPORTRANGE(""https://docs.google.com/spreadsheets/d/1T5rRTzFc79aSIvqnzkZNvwPstq829QYz_xALlO1Z0s8/edi"&amp;"t?usp=share_link"",""นครศรีธรรมราช!J717"")+IMPORTRANGE(""https://docs.google.com/spreadsheets/d/1BeghqumK0IvCmRd2QOy6_afsZq7ZtAGrSnVJy2u7WmY/edit?usp=share_link"",""นราธิวาส!J717"")+IMPORTRANGE(""https://docs.google.com/spreadsheets/d/1IwnW3-jjRf74MCLW-6P"&amp;"iFwMUffRQXZwZA7YM609NmRc/edit?usp=share_link"",""ปัตตานี!J717"")+IMPORTRANGE(""https://docs.google.com/spreadsheets/d/1vl4QWbWdFruual5o_wdo6ZSqXZ_it806oja4CctTLKs/edit?usp=share_link"",""พังงา!J717"")+IMPORTRANGE(""https://docs.google.com/spreadsheets/d/1"&amp;"b6QssHQp2FoAPSMKHOy273KNzAomaIKhtdlvuZ_zDNE/edit?usp=share_link"",""พัทลุง!J717"")+IMPORTRANGE(""https://docs.google.com/spreadsheets/d/1o7UZe4_OqlqtLDHrj01Z2YFRSZDf1DMy1n3XViHaxRc/edit?usp=share_link"",""ภูเก็ต!J717"")+IMPORTRANGE(""https://docs.google.c"&amp;"om/spreadsheets/d/1ctPm1vUzcUCPuOj9-eoHUD85PqINFqUB0TjdSWmR5-c/edit?usp=share_link"",""ยะลา!J717"")+IMPORTRANGE(""https://docs.google.com/spreadsheets/d/1YiDIE7Klmt8osgdapRqYWNr7iPGFSsiJqq46S7PYRE0/edit?usp=share_link"",""ระนอง!J717"")+IMPORTRANGE(""https"&amp;"://docs.google.com/spreadsheets/d/16o_4B-V7AWw_6E93bSpXj_XxVv1oVQctk-B6z1dNEWU/edit?usp=share_link"",""สงขลา!J717"")+IMPORTRANGE(""https://docs.google.com/spreadsheets/d/16cywr71Fj4fA5OGRHsZh30ZG2gwJhMAQv69oVBzYHv0/edit?usp=share_link"",""สตูล!J717"")+IMP"&amp;"ORTRANGE(""https://docs.google.com/spreadsheets/d/1vO9Sws6kMtrVtyvrAJptINXjK8TFBoX9xLYOVK_C8bQ/edit?usp=share_link"",""สุราษฎร์ธานี!J717"")"),0)</f>
        <v>0</v>
      </c>
      <c r="K717" s="37"/>
      <c r="L717" s="765"/>
      <c r="M717" s="188"/>
      <c r="N717" s="765"/>
      <c r="O717" s="37"/>
      <c r="P717" s="37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20.25" customHeight="1">
      <c r="A718" s="743"/>
      <c r="B718" s="575"/>
      <c r="C718" s="575"/>
      <c r="D718" s="576" t="s">
        <v>304</v>
      </c>
      <c r="E718" s="575"/>
      <c r="F718" s="575"/>
      <c r="G718" s="188"/>
      <c r="H718" s="181" t="s">
        <v>35</v>
      </c>
      <c r="I718" s="764"/>
      <c r="J718" s="36">
        <f ca="1">IFERROR(__xludf.DUMMYFUNCTION("IMPORTRANGE(""https://docs.google.com/spreadsheets/d/1kC41EOXpGBFOW658Fs3oD8beYlym0-zO54WY-2Qnp9I/edit?usp=share_link"",""กระบี่!J718"")
+IMPORTRANGE(""https://docs.google.com/spreadsheets/d/1FbzMZY_f3MDiEuK7RpCQKrilJ_kpX0Wm7QBZ1L7EjIU/edit?usp=share_link"&amp;""",""ชุมพร!J718"")+IMPORTRANGE(""https://docs.google.com/spreadsheets/d/1v5sN-00LrXuhBxw4dkh2GrG_z4l5oAqOdJRBCsUyMaM/edit?usp=share_link"",""ตรัง!J718"")+IMPORTRANGE(""https://docs.google.com/spreadsheets/d/1T5rRTzFc79aSIvqnzkZNvwPstq829QYz_xALlO1Z0s8/edi"&amp;"t?usp=share_link"",""นครศรีธรรมราช!J718"")+IMPORTRANGE(""https://docs.google.com/spreadsheets/d/1BeghqumK0IvCmRd2QOy6_afsZq7ZtAGrSnVJy2u7WmY/edit?usp=share_link"",""นราธิวาส!J718"")+IMPORTRANGE(""https://docs.google.com/spreadsheets/d/1IwnW3-jjRf74MCLW-6P"&amp;"iFwMUffRQXZwZA7YM609NmRc/edit?usp=share_link"",""ปัตตานี!J718"")+IMPORTRANGE(""https://docs.google.com/spreadsheets/d/1vl4QWbWdFruual5o_wdo6ZSqXZ_it806oja4CctTLKs/edit?usp=share_link"",""พังงา!J718"")+IMPORTRANGE(""https://docs.google.com/spreadsheets/d/1"&amp;"b6QssHQp2FoAPSMKHOy273KNzAomaIKhtdlvuZ_zDNE/edit?usp=share_link"",""พัทลุง!J718"")+IMPORTRANGE(""https://docs.google.com/spreadsheets/d/1o7UZe4_OqlqtLDHrj01Z2YFRSZDf1DMy1n3XViHaxRc/edit?usp=share_link"",""ภูเก็ต!J718"")+IMPORTRANGE(""https://docs.google.c"&amp;"om/spreadsheets/d/1ctPm1vUzcUCPuOj9-eoHUD85PqINFqUB0TjdSWmR5-c/edit?usp=share_link"",""ยะลา!J718"")+IMPORTRANGE(""https://docs.google.com/spreadsheets/d/1YiDIE7Klmt8osgdapRqYWNr7iPGFSsiJqq46S7PYRE0/edit?usp=share_link"",""ระนอง!J718"")+IMPORTRANGE(""https"&amp;"://docs.google.com/spreadsheets/d/16o_4B-V7AWw_6E93bSpXj_XxVv1oVQctk-B6z1dNEWU/edit?usp=share_link"",""สงขลา!J718"")+IMPORTRANGE(""https://docs.google.com/spreadsheets/d/16cywr71Fj4fA5OGRHsZh30ZG2gwJhMAQv69oVBzYHv0/edit?usp=share_link"",""สตูล!J718"")+IMP"&amp;"ORTRANGE(""https://docs.google.com/spreadsheets/d/1vO9Sws6kMtrVtyvrAJptINXjK8TFBoX9xLYOVK_C8bQ/edit?usp=share_link"",""สุราษฎร์ธานี!J718"")"),0)</f>
        <v>0</v>
      </c>
      <c r="K718" s="37"/>
      <c r="L718" s="37"/>
      <c r="M718" s="188"/>
      <c r="N718" s="765"/>
      <c r="O718" s="37"/>
      <c r="P718" s="37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20.25" customHeight="1">
      <c r="A719" s="743"/>
      <c r="B719" s="575"/>
      <c r="C719" s="575"/>
      <c r="D719" s="575"/>
      <c r="E719" s="575"/>
      <c r="F719" s="575"/>
      <c r="G719" s="188"/>
      <c r="H719" s="181" t="s">
        <v>34</v>
      </c>
      <c r="I719" s="764"/>
      <c r="J719" s="36">
        <f ca="1">IFERROR(__xludf.DUMMYFUNCTION("IMPORTRANGE(""https://docs.google.com/spreadsheets/d/1kC41EOXpGBFOW658Fs3oD8beYlym0-zO54WY-2Qnp9I/edit?usp=share_link"",""กระบี่!J719"")
+IMPORTRANGE(""https://docs.google.com/spreadsheets/d/1FbzMZY_f3MDiEuK7RpCQKrilJ_kpX0Wm7QBZ1L7EjIU/edit?usp=share_link"&amp;""",""ชุมพร!J719"")+IMPORTRANGE(""https://docs.google.com/spreadsheets/d/1v5sN-00LrXuhBxw4dkh2GrG_z4l5oAqOdJRBCsUyMaM/edit?usp=share_link"",""ตรัง!J719"")+IMPORTRANGE(""https://docs.google.com/spreadsheets/d/1T5rRTzFc79aSIvqnzkZNvwPstq829QYz_xALlO1Z0s8/edi"&amp;"t?usp=share_link"",""นครศรีธรรมราช!J719"")+IMPORTRANGE(""https://docs.google.com/spreadsheets/d/1BeghqumK0IvCmRd2QOy6_afsZq7ZtAGrSnVJy2u7WmY/edit?usp=share_link"",""นราธิวาส!J719"")+IMPORTRANGE(""https://docs.google.com/spreadsheets/d/1IwnW3-jjRf74MCLW-6P"&amp;"iFwMUffRQXZwZA7YM609NmRc/edit?usp=share_link"",""ปัตตานี!J719"")+IMPORTRANGE(""https://docs.google.com/spreadsheets/d/1vl4QWbWdFruual5o_wdo6ZSqXZ_it806oja4CctTLKs/edit?usp=share_link"",""พังงา!J719"")+IMPORTRANGE(""https://docs.google.com/spreadsheets/d/1"&amp;"b6QssHQp2FoAPSMKHOy273KNzAomaIKhtdlvuZ_zDNE/edit?usp=share_link"",""พัทลุง!J719"")+IMPORTRANGE(""https://docs.google.com/spreadsheets/d/1o7UZe4_OqlqtLDHrj01Z2YFRSZDf1DMy1n3XViHaxRc/edit?usp=share_link"",""ภูเก็ต!J719"")+IMPORTRANGE(""https://docs.google.c"&amp;"om/spreadsheets/d/1ctPm1vUzcUCPuOj9-eoHUD85PqINFqUB0TjdSWmR5-c/edit?usp=share_link"",""ยะลา!J719"")+IMPORTRANGE(""https://docs.google.com/spreadsheets/d/1YiDIE7Klmt8osgdapRqYWNr7iPGFSsiJqq46S7PYRE0/edit?usp=share_link"",""ระนอง!J719"")+IMPORTRANGE(""https"&amp;"://docs.google.com/spreadsheets/d/16o_4B-V7AWw_6E93bSpXj_XxVv1oVQctk-B6z1dNEWU/edit?usp=share_link"",""สงขลา!J719"")+IMPORTRANGE(""https://docs.google.com/spreadsheets/d/16cywr71Fj4fA5OGRHsZh30ZG2gwJhMAQv69oVBzYHv0/edit?usp=share_link"",""สตูล!J719"")+IMP"&amp;"ORTRANGE(""https://docs.google.com/spreadsheets/d/1vO9Sws6kMtrVtyvrAJptINXjK8TFBoX9xLYOVK_C8bQ/edit?usp=share_link"",""สุราษฎร์ธานี!J719"")"),0)</f>
        <v>0</v>
      </c>
      <c r="K719" s="37"/>
      <c r="L719" s="765"/>
      <c r="M719" s="188"/>
      <c r="N719" s="765"/>
      <c r="O719" s="37"/>
      <c r="P719" s="37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20.25" customHeight="1">
      <c r="A720" s="743"/>
      <c r="B720" s="575"/>
      <c r="C720" s="575"/>
      <c r="D720" s="575"/>
      <c r="E720" s="575"/>
      <c r="F720" s="575"/>
      <c r="G720" s="188"/>
      <c r="H720" s="181" t="s">
        <v>46</v>
      </c>
      <c r="I720" s="764">
        <f ca="1">IFERROR(__xludf.DUMMYFUNCTION("IMPORTRANGE(""https://docs.google.com/spreadsheets/d/1kC41EOXpGBFOW658Fs3oD8beYlym0-zO54WY-2Qnp9I/edit?usp=share_link"",""กระบี่!I720"")
+IMPORTRANGE(""https://docs.google.com/spreadsheets/d/1FbzMZY_f3MDiEuK7RpCQKrilJ_kpX0Wm7QBZ1L7EjIU/edit?usp=share_link"&amp;""",""ชุมพร!I720"")+IMPORTRANGE(""https://docs.google.com/spreadsheets/d/1v5sN-00LrXuhBxw4dkh2GrG_z4l5oAqOdJRBCsUyMaM/edit?usp=share_link"",""ตรัง!I720"")+IMPORTRANGE(""https://docs.google.com/spreadsheets/d/1T5rRTzFc79aSIvqnzkZNvwPstq829QYz_xALlO1Z0s8/edi"&amp;"t?usp=share_link"",""นครศรีธรรมราช!I720"")+IMPORTRANGE(""https://docs.google.com/spreadsheets/d/1BeghqumK0IvCmRd2QOy6_afsZq7ZtAGrSnVJy2u7WmY/edit?usp=share_link"",""นราธิวาส!I720"")+IMPORTRANGE(""https://docs.google.com/spreadsheets/d/1IwnW3-jjRf74MCLW-6P"&amp;"iFwMUffRQXZwZA7YM609NmRc/edit?usp=share_link"",""ปัตตานี!I720"")+IMPORTRANGE(""https://docs.google.com/spreadsheets/d/1vl4QWbWdFruual5o_wdo6ZSqXZ_it806oja4CctTLKs/edit?usp=share_link"",""พังงา!I720"")+IMPORTRANGE(""https://docs.google.com/spreadsheets/d/1"&amp;"b6QssHQp2FoAPSMKHOy273KNzAomaIKhtdlvuZ_zDNE/edit?usp=share_link"",""พัทลุง!I720"")+IMPORTRANGE(""https://docs.google.com/spreadsheets/d/1o7UZe4_OqlqtLDHrj01Z2YFRSZDf1DMy1n3XViHaxRc/edit?usp=share_link"",""ภูเก็ต!I720"")+IMPORTRANGE(""https://docs.google.c"&amp;"om/spreadsheets/d/1ctPm1vUzcUCPuOj9-eoHUD85PqINFqUB0TjdSWmR5-c/edit?usp=share_link"",""ยะลา!I720"")+IMPORTRANGE(""https://docs.google.com/spreadsheets/d/1YiDIE7Klmt8osgdapRqYWNr7iPGFSsiJqq46S7PYRE0/edit?usp=share_link"",""ระนอง!I720"")+IMPORTRANGE(""https"&amp;"://docs.google.com/spreadsheets/d/16o_4B-V7AWw_6E93bSpXj_XxVv1oVQctk-B6z1dNEWU/edit?usp=share_link"",""สงขลา!I720"")+IMPORTRANGE(""https://docs.google.com/spreadsheets/d/16cywr71Fj4fA5OGRHsZh30ZG2gwJhMAQv69oVBzYHv0/edit?usp=share_link"",""สตูล!I720"")+IMP"&amp;"ORTRANGE(""https://docs.google.com/spreadsheets/d/1vO9Sws6kMtrVtyvrAJptINXjK8TFBoX9xLYOVK_C8bQ/edit?usp=share_link"",""สุราษฎร์ธานี!I720"")"),0)</f>
        <v>0</v>
      </c>
      <c r="J720" s="36">
        <f ca="1">IFERROR(__xludf.DUMMYFUNCTION("IMPORTRANGE(""https://docs.google.com/spreadsheets/d/1kC41EOXpGBFOW658Fs3oD8beYlym0-zO54WY-2Qnp9I/edit?usp=share_link"",""กระบี่!J720"")
+IMPORTRANGE(""https://docs.google.com/spreadsheets/d/1FbzMZY_f3MDiEuK7RpCQKrilJ_kpX0Wm7QBZ1L7EjIU/edit?usp=share_link"&amp;""",""ชุมพร!J720"")+IMPORTRANGE(""https://docs.google.com/spreadsheets/d/1v5sN-00LrXuhBxw4dkh2GrG_z4l5oAqOdJRBCsUyMaM/edit?usp=share_link"",""ตรัง!J720"")+IMPORTRANGE(""https://docs.google.com/spreadsheets/d/1T5rRTzFc79aSIvqnzkZNvwPstq829QYz_xALlO1Z0s8/edi"&amp;"t?usp=share_link"",""นครศรีธรรมราช!J720"")+IMPORTRANGE(""https://docs.google.com/spreadsheets/d/1BeghqumK0IvCmRd2QOy6_afsZq7ZtAGrSnVJy2u7WmY/edit?usp=share_link"",""นราธิวาส!J720"")+IMPORTRANGE(""https://docs.google.com/spreadsheets/d/1IwnW3-jjRf74MCLW-6P"&amp;"iFwMUffRQXZwZA7YM609NmRc/edit?usp=share_link"",""ปัตตานี!J720"")+IMPORTRANGE(""https://docs.google.com/spreadsheets/d/1vl4QWbWdFruual5o_wdo6ZSqXZ_it806oja4CctTLKs/edit?usp=share_link"",""พังงา!J720"")+IMPORTRANGE(""https://docs.google.com/spreadsheets/d/1"&amp;"b6QssHQp2FoAPSMKHOy273KNzAomaIKhtdlvuZ_zDNE/edit?usp=share_link"",""พัทลุง!J720"")+IMPORTRANGE(""https://docs.google.com/spreadsheets/d/1o7UZe4_OqlqtLDHrj01Z2YFRSZDf1DMy1n3XViHaxRc/edit?usp=share_link"",""ภูเก็ต!J720"")+IMPORTRANGE(""https://docs.google.c"&amp;"om/spreadsheets/d/1ctPm1vUzcUCPuOj9-eoHUD85PqINFqUB0TjdSWmR5-c/edit?usp=share_link"",""ยะลา!J720"")+IMPORTRANGE(""https://docs.google.com/spreadsheets/d/1YiDIE7Klmt8osgdapRqYWNr7iPGFSsiJqq46S7PYRE0/edit?usp=share_link"",""ระนอง!J720"")+IMPORTRANGE(""https"&amp;"://docs.google.com/spreadsheets/d/16o_4B-V7AWw_6E93bSpXj_XxVv1oVQctk-B6z1dNEWU/edit?usp=share_link"",""สงขลา!J720"")+IMPORTRANGE(""https://docs.google.com/spreadsheets/d/16cywr71Fj4fA5OGRHsZh30ZG2gwJhMAQv69oVBzYHv0/edit?usp=share_link"",""สตูล!J720"")+IMP"&amp;"ORTRANGE(""https://docs.google.com/spreadsheets/d/1vO9Sws6kMtrVtyvrAJptINXjK8TFBoX9xLYOVK_C8bQ/edit?usp=share_link"",""สุราษฎร์ธานี!J720"")"),0)</f>
        <v>0</v>
      </c>
      <c r="K720" s="37">
        <f t="shared" ref="K720:K723" ca="1" si="330">IF(I720&gt;0,J720*100/I720,0)</f>
        <v>0</v>
      </c>
      <c r="L720" s="765"/>
      <c r="M720" s="188"/>
      <c r="N720" s="765"/>
      <c r="O720" s="37"/>
      <c r="P720" s="37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20.25" customHeight="1">
      <c r="A721" s="743"/>
      <c r="B721" s="575"/>
      <c r="C721" s="575"/>
      <c r="D721" s="576" t="s">
        <v>305</v>
      </c>
      <c r="E721" s="575"/>
      <c r="F721" s="575"/>
      <c r="G721" s="188"/>
      <c r="H721" s="751" t="s">
        <v>35</v>
      </c>
      <c r="I721" s="767">
        <f ca="1">IFERROR(__xludf.DUMMYFUNCTION("IMPORTRANGE(""https://docs.google.com/spreadsheets/d/1kC41EOXpGBFOW658Fs3oD8beYlym0-zO54WY-2Qnp9I/edit?usp=share_link"",""กระบี่!I721"")
+IMPORTRANGE(""https://docs.google.com/spreadsheets/d/1FbzMZY_f3MDiEuK7RpCQKrilJ_kpX0Wm7QBZ1L7EjIU/edit?usp=share_link"&amp;""",""ชุมพร!I721"")+IMPORTRANGE(""https://docs.google.com/spreadsheets/d/1v5sN-00LrXuhBxw4dkh2GrG_z4l5oAqOdJRBCsUyMaM/edit?usp=share_link"",""ตรัง!I721"")+IMPORTRANGE(""https://docs.google.com/spreadsheets/d/1T5rRTzFc79aSIvqnzkZNvwPstq829QYz_xALlO1Z0s8/edi"&amp;"t?usp=share_link"",""นครศรีธรรมราช!I721"")+IMPORTRANGE(""https://docs.google.com/spreadsheets/d/1BeghqumK0IvCmRd2QOy6_afsZq7ZtAGrSnVJy2u7WmY/edit?usp=share_link"",""นราธิวาส!I721"")+IMPORTRANGE(""https://docs.google.com/spreadsheets/d/1IwnW3-jjRf74MCLW-6P"&amp;"iFwMUffRQXZwZA7YM609NmRc/edit?usp=share_link"",""ปัตตานี!I721"")+IMPORTRANGE(""https://docs.google.com/spreadsheets/d/1vl4QWbWdFruual5o_wdo6ZSqXZ_it806oja4CctTLKs/edit?usp=share_link"",""พังงา!I721"")+IMPORTRANGE(""https://docs.google.com/spreadsheets/d/1"&amp;"b6QssHQp2FoAPSMKHOy273KNzAomaIKhtdlvuZ_zDNE/edit?usp=share_link"",""พัทลุง!I721"")+IMPORTRANGE(""https://docs.google.com/spreadsheets/d/1o7UZe4_OqlqtLDHrj01Z2YFRSZDf1DMy1n3XViHaxRc/edit?usp=share_link"",""ภูเก็ต!I721"")+IMPORTRANGE(""https://docs.google.c"&amp;"om/spreadsheets/d/1ctPm1vUzcUCPuOj9-eoHUD85PqINFqUB0TjdSWmR5-c/edit?usp=share_link"",""ยะลา!I721"")+IMPORTRANGE(""https://docs.google.com/spreadsheets/d/1YiDIE7Klmt8osgdapRqYWNr7iPGFSsiJqq46S7PYRE0/edit?usp=share_link"",""ระนอง!I721"")+IMPORTRANGE(""https"&amp;"://docs.google.com/spreadsheets/d/16o_4B-V7AWw_6E93bSpXj_XxVv1oVQctk-B6z1dNEWU/edit?usp=share_link"",""สงขลา!I721"")+IMPORTRANGE(""https://docs.google.com/spreadsheets/d/16cywr71Fj4fA5OGRHsZh30ZG2gwJhMAQv69oVBzYHv0/edit?usp=share_link"",""สตูล!I721"")+IMP"&amp;"ORTRANGE(""https://docs.google.com/spreadsheets/d/1vO9Sws6kMtrVtyvrAJptINXjK8TFBoX9xLYOVK_C8bQ/edit?usp=share_link"",""สุราษฎร์ธานี!I721"")"),87)</f>
        <v>87</v>
      </c>
      <c r="J721" s="193">
        <f ca="1">J723+J726</f>
        <v>38</v>
      </c>
      <c r="K721" s="194">
        <f t="shared" ca="1" si="330"/>
        <v>43.678160919540232</v>
      </c>
      <c r="L721" s="765"/>
      <c r="M721" s="188"/>
      <c r="N721" s="765"/>
      <c r="O721" s="37"/>
      <c r="P721" s="37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20.25" customHeight="1">
      <c r="A722" s="743"/>
      <c r="B722" s="575"/>
      <c r="C722" s="575"/>
      <c r="D722" s="575"/>
      <c r="E722" s="576"/>
      <c r="F722" s="575"/>
      <c r="G722" s="188"/>
      <c r="H722" s="751" t="s">
        <v>46</v>
      </c>
      <c r="I722" s="767">
        <f ca="1">IFERROR(__xludf.DUMMYFUNCTION("IMPORTRANGE(""https://docs.google.com/spreadsheets/d/1kC41EOXpGBFOW658Fs3oD8beYlym0-zO54WY-2Qnp9I/edit?usp=share_link"",""กระบี่!I722"")
+IMPORTRANGE(""https://docs.google.com/spreadsheets/d/1FbzMZY_f3MDiEuK7RpCQKrilJ_kpX0Wm7QBZ1L7EjIU/edit?usp=share_link"&amp;""",""ชุมพร!I722"")+IMPORTRANGE(""https://docs.google.com/spreadsheets/d/1v5sN-00LrXuhBxw4dkh2GrG_z4l5oAqOdJRBCsUyMaM/edit?usp=share_link"",""ตรัง!I722"")+IMPORTRANGE(""https://docs.google.com/spreadsheets/d/1T5rRTzFc79aSIvqnzkZNvwPstq829QYz_xALlO1Z0s8/edi"&amp;"t?usp=share_link"",""นครศรีธรรมราช!I722"")+IMPORTRANGE(""https://docs.google.com/spreadsheets/d/1BeghqumK0IvCmRd2QOy6_afsZq7ZtAGrSnVJy2u7WmY/edit?usp=share_link"",""นราธิวาส!I722"")+IMPORTRANGE(""https://docs.google.com/spreadsheets/d/1IwnW3-jjRf74MCLW-6P"&amp;"iFwMUffRQXZwZA7YM609NmRc/edit?usp=share_link"",""ปัตตานี!I722"")+IMPORTRANGE(""https://docs.google.com/spreadsheets/d/1vl4QWbWdFruual5o_wdo6ZSqXZ_it806oja4CctTLKs/edit?usp=share_link"",""พังงา!I722"")+IMPORTRANGE(""https://docs.google.com/spreadsheets/d/1"&amp;"b6QssHQp2FoAPSMKHOy273KNzAomaIKhtdlvuZ_zDNE/edit?usp=share_link"",""พัทลุง!I722"")+IMPORTRANGE(""https://docs.google.com/spreadsheets/d/1o7UZe4_OqlqtLDHrj01Z2YFRSZDf1DMy1n3XViHaxRc/edit?usp=share_link"",""ภูเก็ต!I722"")+IMPORTRANGE(""https://docs.google.c"&amp;"om/spreadsheets/d/1ctPm1vUzcUCPuOj9-eoHUD85PqINFqUB0TjdSWmR5-c/edit?usp=share_link"",""ยะลา!I722"")+IMPORTRANGE(""https://docs.google.com/spreadsheets/d/1YiDIE7Klmt8osgdapRqYWNr7iPGFSsiJqq46S7PYRE0/edit?usp=share_link"",""ระนอง!I722"")+IMPORTRANGE(""https"&amp;"://docs.google.com/spreadsheets/d/16o_4B-V7AWw_6E93bSpXj_XxVv1oVQctk-B6z1dNEWU/edit?usp=share_link"",""สงขลา!I722"")+IMPORTRANGE(""https://docs.google.com/spreadsheets/d/16cywr71Fj4fA5OGRHsZh30ZG2gwJhMAQv69oVBzYHv0/edit?usp=share_link"",""สตูล!I722"")+IMP"&amp;"ORTRANGE(""https://docs.google.com/spreadsheets/d/1vO9Sws6kMtrVtyvrAJptINXjK8TFBoX9xLYOVK_C8bQ/edit?usp=share_link"",""สุราษฎร์ธานี!I722"")"),332)</f>
        <v>332</v>
      </c>
      <c r="J722" s="193">
        <f ca="1">J725+J728</f>
        <v>195.803</v>
      </c>
      <c r="K722" s="194">
        <f t="shared" ca="1" si="330"/>
        <v>58.976807228915661</v>
      </c>
      <c r="L722" s="37"/>
      <c r="M722" s="188"/>
      <c r="N722" s="765"/>
      <c r="O722" s="37"/>
      <c r="P722" s="37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20.25" customHeight="1">
      <c r="A723" s="743"/>
      <c r="B723" s="575"/>
      <c r="C723" s="575"/>
      <c r="D723" s="575"/>
      <c r="E723" s="576" t="s">
        <v>306</v>
      </c>
      <c r="F723" s="575"/>
      <c r="G723" s="188"/>
      <c r="H723" s="181" t="s">
        <v>35</v>
      </c>
      <c r="I723" s="764">
        <f ca="1">IFERROR(__xludf.DUMMYFUNCTION("IMPORTRANGE(""https://docs.google.com/spreadsheets/d/1kC41EOXpGBFOW658Fs3oD8beYlym0-zO54WY-2Qnp9I/edit?usp=share_link"",""กระบี่!I723"")
+IMPORTRANGE(""https://docs.google.com/spreadsheets/d/1FbzMZY_f3MDiEuK7RpCQKrilJ_kpX0Wm7QBZ1L7EjIU/edit?usp=share_link"&amp;""",""ชุมพร!I723"")+IMPORTRANGE(""https://docs.google.com/spreadsheets/d/1v5sN-00LrXuhBxw4dkh2GrG_z4l5oAqOdJRBCsUyMaM/edit?usp=share_link"",""ตรัง!I723"")+IMPORTRANGE(""https://docs.google.com/spreadsheets/d/1T5rRTzFc79aSIvqnzkZNvwPstq829QYz_xALlO1Z0s8/edi"&amp;"t?usp=share_link"",""นครศรีธรรมราช!I723"")+IMPORTRANGE(""https://docs.google.com/spreadsheets/d/1BeghqumK0IvCmRd2QOy6_afsZq7ZtAGrSnVJy2u7WmY/edit?usp=share_link"",""นราธิวาส!I723"")+IMPORTRANGE(""https://docs.google.com/spreadsheets/d/1IwnW3-jjRf74MCLW-6P"&amp;"iFwMUffRQXZwZA7YM609NmRc/edit?usp=share_link"",""ปัตตานี!I723"")+IMPORTRANGE(""https://docs.google.com/spreadsheets/d/1vl4QWbWdFruual5o_wdo6ZSqXZ_it806oja4CctTLKs/edit?usp=share_link"",""พังงา!I723"")+IMPORTRANGE(""https://docs.google.com/spreadsheets/d/1"&amp;"b6QssHQp2FoAPSMKHOy273KNzAomaIKhtdlvuZ_zDNE/edit?usp=share_link"",""พัทลุง!I723"")+IMPORTRANGE(""https://docs.google.com/spreadsheets/d/1o7UZe4_OqlqtLDHrj01Z2YFRSZDf1DMy1n3XViHaxRc/edit?usp=share_link"",""ภูเก็ต!I723"")+IMPORTRANGE(""https://docs.google.c"&amp;"om/spreadsheets/d/1ctPm1vUzcUCPuOj9-eoHUD85PqINFqUB0TjdSWmR5-c/edit?usp=share_link"",""ยะลา!I723"")+IMPORTRANGE(""https://docs.google.com/spreadsheets/d/1YiDIE7Klmt8osgdapRqYWNr7iPGFSsiJqq46S7PYRE0/edit?usp=share_link"",""ระนอง!I723"")+IMPORTRANGE(""https"&amp;"://docs.google.com/spreadsheets/d/16o_4B-V7AWw_6E93bSpXj_XxVv1oVQctk-B6z1dNEWU/edit?usp=share_link"",""สงขลา!I723"")+IMPORTRANGE(""https://docs.google.com/spreadsheets/d/16cywr71Fj4fA5OGRHsZh30ZG2gwJhMAQv69oVBzYHv0/edit?usp=share_link"",""สตูล!I723"")+IMP"&amp;"ORTRANGE(""https://docs.google.com/spreadsheets/d/1vO9Sws6kMtrVtyvrAJptINXjK8TFBoX9xLYOVK_C8bQ/edit?usp=share_link"",""สุราษฎร์ธานี!I723"")"),50)</f>
        <v>50</v>
      </c>
      <c r="J723" s="36">
        <f ca="1">IFERROR(__xludf.DUMMYFUNCTION("IMPORTRANGE(""https://docs.google.com/spreadsheets/d/1kC41EOXpGBFOW658Fs3oD8beYlym0-zO54WY-2Qnp9I/edit?usp=share_link"",""กระบี่!J723"")
+IMPORTRANGE(""https://docs.google.com/spreadsheets/d/1FbzMZY_f3MDiEuK7RpCQKrilJ_kpX0Wm7QBZ1L7EjIU/edit?usp=share_link"&amp;""",""ชุมพร!J723"")+IMPORTRANGE(""https://docs.google.com/spreadsheets/d/1v5sN-00LrXuhBxw4dkh2GrG_z4l5oAqOdJRBCsUyMaM/edit?usp=share_link"",""ตรัง!J723"")+IMPORTRANGE(""https://docs.google.com/spreadsheets/d/1T5rRTzFc79aSIvqnzkZNvwPstq829QYz_xALlO1Z0s8/edi"&amp;"t?usp=share_link"",""นครศรีธรรมราช!J723"")+IMPORTRANGE(""https://docs.google.com/spreadsheets/d/1BeghqumK0IvCmRd2QOy6_afsZq7ZtAGrSnVJy2u7WmY/edit?usp=share_link"",""นราธิวาส!J723"")+IMPORTRANGE(""https://docs.google.com/spreadsheets/d/1IwnW3-jjRf74MCLW-6P"&amp;"iFwMUffRQXZwZA7YM609NmRc/edit?usp=share_link"",""ปัตตานี!J723"")+IMPORTRANGE(""https://docs.google.com/spreadsheets/d/1vl4QWbWdFruual5o_wdo6ZSqXZ_it806oja4CctTLKs/edit?usp=share_link"",""พังงา!J723"")+IMPORTRANGE(""https://docs.google.com/spreadsheets/d/1"&amp;"b6QssHQp2FoAPSMKHOy273KNzAomaIKhtdlvuZ_zDNE/edit?usp=share_link"",""พัทลุง!J723"")+IMPORTRANGE(""https://docs.google.com/spreadsheets/d/1o7UZe4_OqlqtLDHrj01Z2YFRSZDf1DMy1n3XViHaxRc/edit?usp=share_link"",""ภูเก็ต!J723"")+IMPORTRANGE(""https://docs.google.c"&amp;"om/spreadsheets/d/1ctPm1vUzcUCPuOj9-eoHUD85PqINFqUB0TjdSWmR5-c/edit?usp=share_link"",""ยะลา!J723"")+IMPORTRANGE(""https://docs.google.com/spreadsheets/d/1YiDIE7Klmt8osgdapRqYWNr7iPGFSsiJqq46S7PYRE0/edit?usp=share_link"",""ระนอง!J723"")+IMPORTRANGE(""https"&amp;"://docs.google.com/spreadsheets/d/16o_4B-V7AWw_6E93bSpXj_XxVv1oVQctk-B6z1dNEWU/edit?usp=share_link"",""สงขลา!J723"")+IMPORTRANGE(""https://docs.google.com/spreadsheets/d/16cywr71Fj4fA5OGRHsZh30ZG2gwJhMAQv69oVBzYHv0/edit?usp=share_link"",""สตูล!J723"")+IMP"&amp;"ORTRANGE(""https://docs.google.com/spreadsheets/d/1vO9Sws6kMtrVtyvrAJptINXjK8TFBoX9xLYOVK_C8bQ/edit?usp=share_link"",""สุราษฎร์ธานี!J723"")"),37)</f>
        <v>37</v>
      </c>
      <c r="K723" s="37">
        <f t="shared" ca="1" si="330"/>
        <v>74</v>
      </c>
      <c r="L723" s="37"/>
      <c r="M723" s="188"/>
      <c r="N723" s="765"/>
      <c r="O723" s="37"/>
      <c r="P723" s="37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20.25" customHeight="1">
      <c r="A724" s="743"/>
      <c r="B724" s="575"/>
      <c r="C724" s="575"/>
      <c r="D724" s="575"/>
      <c r="E724" s="575"/>
      <c r="F724" s="575"/>
      <c r="G724" s="188"/>
      <c r="H724" s="181" t="s">
        <v>34</v>
      </c>
      <c r="I724" s="764"/>
      <c r="J724" s="36">
        <f ca="1">IFERROR(__xludf.DUMMYFUNCTION("IMPORTRANGE(""https://docs.google.com/spreadsheets/d/1kC41EOXpGBFOW658Fs3oD8beYlym0-zO54WY-2Qnp9I/edit?usp=share_link"",""กระบี่!J724"")
+IMPORTRANGE(""https://docs.google.com/spreadsheets/d/1FbzMZY_f3MDiEuK7RpCQKrilJ_kpX0Wm7QBZ1L7EjIU/edit?usp=share_link"&amp;""",""ชุมพร!J724"")+IMPORTRANGE(""https://docs.google.com/spreadsheets/d/1v5sN-00LrXuhBxw4dkh2GrG_z4l5oAqOdJRBCsUyMaM/edit?usp=share_link"",""ตรัง!J724"")+IMPORTRANGE(""https://docs.google.com/spreadsheets/d/1T5rRTzFc79aSIvqnzkZNvwPstq829QYz_xALlO1Z0s8/edi"&amp;"t?usp=share_link"",""นครศรีธรรมราช!J724"")+IMPORTRANGE(""https://docs.google.com/spreadsheets/d/1BeghqumK0IvCmRd2QOy6_afsZq7ZtAGrSnVJy2u7WmY/edit?usp=share_link"",""นราธิวาส!J724"")+IMPORTRANGE(""https://docs.google.com/spreadsheets/d/1IwnW3-jjRf74MCLW-6P"&amp;"iFwMUffRQXZwZA7YM609NmRc/edit?usp=share_link"",""ปัตตานี!J724"")+IMPORTRANGE(""https://docs.google.com/spreadsheets/d/1vl4QWbWdFruual5o_wdo6ZSqXZ_it806oja4CctTLKs/edit?usp=share_link"",""พังงา!J724"")+IMPORTRANGE(""https://docs.google.com/spreadsheets/d/1"&amp;"b6QssHQp2FoAPSMKHOy273KNzAomaIKhtdlvuZ_zDNE/edit?usp=share_link"",""พัทลุง!J724"")+IMPORTRANGE(""https://docs.google.com/spreadsheets/d/1o7UZe4_OqlqtLDHrj01Z2YFRSZDf1DMy1n3XViHaxRc/edit?usp=share_link"",""ภูเก็ต!J724"")+IMPORTRANGE(""https://docs.google.c"&amp;"om/spreadsheets/d/1ctPm1vUzcUCPuOj9-eoHUD85PqINFqUB0TjdSWmR5-c/edit?usp=share_link"",""ยะลา!J724"")+IMPORTRANGE(""https://docs.google.com/spreadsheets/d/1YiDIE7Klmt8osgdapRqYWNr7iPGFSsiJqq46S7PYRE0/edit?usp=share_link"",""ระนอง!J724"")+IMPORTRANGE(""https"&amp;"://docs.google.com/spreadsheets/d/16o_4B-V7AWw_6E93bSpXj_XxVv1oVQctk-B6z1dNEWU/edit?usp=share_link"",""สงขลา!J724"")+IMPORTRANGE(""https://docs.google.com/spreadsheets/d/16cywr71Fj4fA5OGRHsZh30ZG2gwJhMAQv69oVBzYHv0/edit?usp=share_link"",""สตูล!J724"")+IMP"&amp;"ORTRANGE(""https://docs.google.com/spreadsheets/d/1vO9Sws6kMtrVtyvrAJptINXjK8TFBoX9xLYOVK_C8bQ/edit?usp=share_link"",""สุราษฎร์ธานี!J724"")"),37)</f>
        <v>37</v>
      </c>
      <c r="K724" s="37"/>
      <c r="L724" s="765"/>
      <c r="M724" s="188"/>
      <c r="N724" s="765"/>
      <c r="O724" s="37"/>
      <c r="P724" s="37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20.25" customHeight="1">
      <c r="A725" s="743"/>
      <c r="B725" s="575"/>
      <c r="C725" s="575"/>
      <c r="D725" s="575"/>
      <c r="E725" s="575"/>
      <c r="F725" s="575"/>
      <c r="G725" s="188"/>
      <c r="H725" s="181" t="s">
        <v>46</v>
      </c>
      <c r="I725" s="764">
        <f ca="1">IFERROR(__xludf.DUMMYFUNCTION("IMPORTRANGE(""https://docs.google.com/spreadsheets/d/1kC41EOXpGBFOW658Fs3oD8beYlym0-zO54WY-2Qnp9I/edit?usp=share_link"",""กระบี่!I725"")
+IMPORTRANGE(""https://docs.google.com/spreadsheets/d/1FbzMZY_f3MDiEuK7RpCQKrilJ_kpX0Wm7QBZ1L7EjIU/edit?usp=share_link"&amp;""",""ชุมพร!I725"")+IMPORTRANGE(""https://docs.google.com/spreadsheets/d/1v5sN-00LrXuhBxw4dkh2GrG_z4l5oAqOdJRBCsUyMaM/edit?usp=share_link"",""ตรัง!I725"")+IMPORTRANGE(""https://docs.google.com/spreadsheets/d/1T5rRTzFc79aSIvqnzkZNvwPstq829QYz_xALlO1Z0s8/edi"&amp;"t?usp=share_link"",""นครศรีธรรมราช!I725"")+IMPORTRANGE(""https://docs.google.com/spreadsheets/d/1BeghqumK0IvCmRd2QOy6_afsZq7ZtAGrSnVJy2u7WmY/edit?usp=share_link"",""นราธิวาส!I725"")+IMPORTRANGE(""https://docs.google.com/spreadsheets/d/1IwnW3-jjRf74MCLW-6P"&amp;"iFwMUffRQXZwZA7YM609NmRc/edit?usp=share_link"",""ปัตตานี!I725"")+IMPORTRANGE(""https://docs.google.com/spreadsheets/d/1vl4QWbWdFruual5o_wdo6ZSqXZ_it806oja4CctTLKs/edit?usp=share_link"",""พังงา!I725"")+IMPORTRANGE(""https://docs.google.com/spreadsheets/d/1"&amp;"b6QssHQp2FoAPSMKHOy273KNzAomaIKhtdlvuZ_zDNE/edit?usp=share_link"",""พัทลุง!I725"")+IMPORTRANGE(""https://docs.google.com/spreadsheets/d/1o7UZe4_OqlqtLDHrj01Z2YFRSZDf1DMy1n3XViHaxRc/edit?usp=share_link"",""ภูเก็ต!I725"")+IMPORTRANGE(""https://docs.google.c"&amp;"om/spreadsheets/d/1ctPm1vUzcUCPuOj9-eoHUD85PqINFqUB0TjdSWmR5-c/edit?usp=share_link"",""ยะลา!I725"")+IMPORTRANGE(""https://docs.google.com/spreadsheets/d/1YiDIE7Klmt8osgdapRqYWNr7iPGFSsiJqq46S7PYRE0/edit?usp=share_link"",""ระนอง!I725"")+IMPORTRANGE(""https"&amp;"://docs.google.com/spreadsheets/d/16o_4B-V7AWw_6E93bSpXj_XxVv1oVQctk-B6z1dNEWU/edit?usp=share_link"",""สงขลา!I725"")+IMPORTRANGE(""https://docs.google.com/spreadsheets/d/16cywr71Fj4fA5OGRHsZh30ZG2gwJhMAQv69oVBzYHv0/edit?usp=share_link"",""สตูล!I725"")+IMP"&amp;"ORTRANGE(""https://docs.google.com/spreadsheets/d/1vO9Sws6kMtrVtyvrAJptINXjK8TFBoX9xLYOVK_C8bQ/edit?usp=share_link"",""สุราษฎร์ธานี!I725"")"),212)</f>
        <v>212</v>
      </c>
      <c r="J725" s="36">
        <f ca="1">IFERROR(__xludf.DUMMYFUNCTION("IMPORTRANGE(""https://docs.google.com/spreadsheets/d/1kC41EOXpGBFOW658Fs3oD8beYlym0-zO54WY-2Qnp9I/edit?usp=share_link"",""กระบี่!J725"")
+IMPORTRANGE(""https://docs.google.com/spreadsheets/d/1FbzMZY_f3MDiEuK7RpCQKrilJ_kpX0Wm7QBZ1L7EjIU/edit?usp=share_link"&amp;""",""ชุมพร!J725"")+IMPORTRANGE(""https://docs.google.com/spreadsheets/d/1v5sN-00LrXuhBxw4dkh2GrG_z4l5oAqOdJRBCsUyMaM/edit?usp=share_link"",""ตรัง!J725"")+IMPORTRANGE(""https://docs.google.com/spreadsheets/d/1T5rRTzFc79aSIvqnzkZNvwPstq829QYz_xALlO1Z0s8/edi"&amp;"t?usp=share_link"",""นครศรีธรรมราช!J725"")+IMPORTRANGE(""https://docs.google.com/spreadsheets/d/1BeghqumK0IvCmRd2QOy6_afsZq7ZtAGrSnVJy2u7WmY/edit?usp=share_link"",""นราธิวาส!J725"")+IMPORTRANGE(""https://docs.google.com/spreadsheets/d/1IwnW3-jjRf74MCLW-6P"&amp;"iFwMUffRQXZwZA7YM609NmRc/edit?usp=share_link"",""ปัตตานี!J725"")+IMPORTRANGE(""https://docs.google.com/spreadsheets/d/1vl4QWbWdFruual5o_wdo6ZSqXZ_it806oja4CctTLKs/edit?usp=share_link"",""พังงา!J725"")+IMPORTRANGE(""https://docs.google.com/spreadsheets/d/1"&amp;"b6QssHQp2FoAPSMKHOy273KNzAomaIKhtdlvuZ_zDNE/edit?usp=share_link"",""พัทลุง!J725"")+IMPORTRANGE(""https://docs.google.com/spreadsheets/d/1o7UZe4_OqlqtLDHrj01Z2YFRSZDf1DMy1n3XViHaxRc/edit?usp=share_link"",""ภูเก็ต!J725"")+IMPORTRANGE(""https://docs.google.c"&amp;"om/spreadsheets/d/1ctPm1vUzcUCPuOj9-eoHUD85PqINFqUB0TjdSWmR5-c/edit?usp=share_link"",""ยะลา!J725"")+IMPORTRANGE(""https://docs.google.com/spreadsheets/d/1YiDIE7Klmt8osgdapRqYWNr7iPGFSsiJqq46S7PYRE0/edit?usp=share_link"",""ระนอง!J725"")+IMPORTRANGE(""https"&amp;"://docs.google.com/spreadsheets/d/16o_4B-V7AWw_6E93bSpXj_XxVv1oVQctk-B6z1dNEWU/edit?usp=share_link"",""สงขลา!J725"")+IMPORTRANGE(""https://docs.google.com/spreadsheets/d/16cywr71Fj4fA5OGRHsZh30ZG2gwJhMAQv69oVBzYHv0/edit?usp=share_link"",""สตูล!J725"")+IMP"&amp;"ORTRANGE(""https://docs.google.com/spreadsheets/d/1vO9Sws6kMtrVtyvrAJptINXjK8TFBoX9xLYOVK_C8bQ/edit?usp=share_link"",""สุราษฎร์ธานี!J725"")"),193.728)</f>
        <v>193.72800000000001</v>
      </c>
      <c r="K725" s="37">
        <f t="shared" ref="K725:K726" ca="1" si="331">IF(I725&gt;0,J725*100/I725,0)</f>
        <v>91.381132075471697</v>
      </c>
      <c r="L725" s="765"/>
      <c r="M725" s="188"/>
      <c r="N725" s="765"/>
      <c r="O725" s="37"/>
      <c r="P725" s="37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20.25" customHeight="1">
      <c r="A726" s="743"/>
      <c r="B726" s="575"/>
      <c r="C726" s="575"/>
      <c r="D726" s="575"/>
      <c r="E726" s="576" t="s">
        <v>307</v>
      </c>
      <c r="F726" s="575"/>
      <c r="G726" s="188"/>
      <c r="H726" s="181" t="s">
        <v>35</v>
      </c>
      <c r="I726" s="764">
        <f ca="1">IFERROR(__xludf.DUMMYFUNCTION("IMPORTRANGE(""https://docs.google.com/spreadsheets/d/1kC41EOXpGBFOW658Fs3oD8beYlym0-zO54WY-2Qnp9I/edit?usp=share_link"",""กระบี่!I726"")
+IMPORTRANGE(""https://docs.google.com/spreadsheets/d/1FbzMZY_f3MDiEuK7RpCQKrilJ_kpX0Wm7QBZ1L7EjIU/edit?usp=share_link"&amp;""",""ชุมพร!I726"")+IMPORTRANGE(""https://docs.google.com/spreadsheets/d/1v5sN-00LrXuhBxw4dkh2GrG_z4l5oAqOdJRBCsUyMaM/edit?usp=share_link"",""ตรัง!I726"")+IMPORTRANGE(""https://docs.google.com/spreadsheets/d/1T5rRTzFc79aSIvqnzkZNvwPstq829QYz_xALlO1Z0s8/edi"&amp;"t?usp=share_link"",""นครศรีธรรมราช!I726"")+IMPORTRANGE(""https://docs.google.com/spreadsheets/d/1BeghqumK0IvCmRd2QOy6_afsZq7ZtAGrSnVJy2u7WmY/edit?usp=share_link"",""นราธิวาส!I726"")+IMPORTRANGE(""https://docs.google.com/spreadsheets/d/1IwnW3-jjRf74MCLW-6P"&amp;"iFwMUffRQXZwZA7YM609NmRc/edit?usp=share_link"",""ปัตตานี!I726"")+IMPORTRANGE(""https://docs.google.com/spreadsheets/d/1vl4QWbWdFruual5o_wdo6ZSqXZ_it806oja4CctTLKs/edit?usp=share_link"",""พังงา!I726"")+IMPORTRANGE(""https://docs.google.com/spreadsheets/d/1"&amp;"b6QssHQp2FoAPSMKHOy273KNzAomaIKhtdlvuZ_zDNE/edit?usp=share_link"",""พัทลุง!I726"")+IMPORTRANGE(""https://docs.google.com/spreadsheets/d/1o7UZe4_OqlqtLDHrj01Z2YFRSZDf1DMy1n3XViHaxRc/edit?usp=share_link"",""ภูเก็ต!I726"")+IMPORTRANGE(""https://docs.google.c"&amp;"om/spreadsheets/d/1ctPm1vUzcUCPuOj9-eoHUD85PqINFqUB0TjdSWmR5-c/edit?usp=share_link"",""ยะลา!I726"")+IMPORTRANGE(""https://docs.google.com/spreadsheets/d/1YiDIE7Klmt8osgdapRqYWNr7iPGFSsiJqq46S7PYRE0/edit?usp=share_link"",""ระนอง!I726"")+IMPORTRANGE(""https"&amp;"://docs.google.com/spreadsheets/d/16o_4B-V7AWw_6E93bSpXj_XxVv1oVQctk-B6z1dNEWU/edit?usp=share_link"",""สงขลา!I726"")+IMPORTRANGE(""https://docs.google.com/spreadsheets/d/16cywr71Fj4fA5OGRHsZh30ZG2gwJhMAQv69oVBzYHv0/edit?usp=share_link"",""สตูล!I726"")+IMP"&amp;"ORTRANGE(""https://docs.google.com/spreadsheets/d/1vO9Sws6kMtrVtyvrAJptINXjK8TFBoX9xLYOVK_C8bQ/edit?usp=share_link"",""สุราษฎร์ธานี!I726"")"),37)</f>
        <v>37</v>
      </c>
      <c r="J726" s="36">
        <f ca="1">IFERROR(__xludf.DUMMYFUNCTION("IMPORTRANGE(""https://docs.google.com/spreadsheets/d/1kC41EOXpGBFOW658Fs3oD8beYlym0-zO54WY-2Qnp9I/edit?usp=share_link"",""กระบี่!J726"")
+IMPORTRANGE(""https://docs.google.com/spreadsheets/d/1FbzMZY_f3MDiEuK7RpCQKrilJ_kpX0Wm7QBZ1L7EjIU/edit?usp=share_link"&amp;""",""ชุมพร!J726"")+IMPORTRANGE(""https://docs.google.com/spreadsheets/d/1v5sN-00LrXuhBxw4dkh2GrG_z4l5oAqOdJRBCsUyMaM/edit?usp=share_link"",""ตรัง!J726"")+IMPORTRANGE(""https://docs.google.com/spreadsheets/d/1T5rRTzFc79aSIvqnzkZNvwPstq829QYz_xALlO1Z0s8/edi"&amp;"t?usp=share_link"",""นครศรีธรรมราช!J726"")+IMPORTRANGE(""https://docs.google.com/spreadsheets/d/1BeghqumK0IvCmRd2QOy6_afsZq7ZtAGrSnVJy2u7WmY/edit?usp=share_link"",""นราธิวาส!J726"")+IMPORTRANGE(""https://docs.google.com/spreadsheets/d/1IwnW3-jjRf74MCLW-6P"&amp;"iFwMUffRQXZwZA7YM609NmRc/edit?usp=share_link"",""ปัตตานี!J726"")+IMPORTRANGE(""https://docs.google.com/spreadsheets/d/1vl4QWbWdFruual5o_wdo6ZSqXZ_it806oja4CctTLKs/edit?usp=share_link"",""พังงา!J726"")+IMPORTRANGE(""https://docs.google.com/spreadsheets/d/1"&amp;"b6QssHQp2FoAPSMKHOy273KNzAomaIKhtdlvuZ_zDNE/edit?usp=share_link"",""พัทลุง!J726"")+IMPORTRANGE(""https://docs.google.com/spreadsheets/d/1o7UZe4_OqlqtLDHrj01Z2YFRSZDf1DMy1n3XViHaxRc/edit?usp=share_link"",""ภูเก็ต!J726"")+IMPORTRANGE(""https://docs.google.c"&amp;"om/spreadsheets/d/1ctPm1vUzcUCPuOj9-eoHUD85PqINFqUB0TjdSWmR5-c/edit?usp=share_link"",""ยะลา!J726"")+IMPORTRANGE(""https://docs.google.com/spreadsheets/d/1YiDIE7Klmt8osgdapRqYWNr7iPGFSsiJqq46S7PYRE0/edit?usp=share_link"",""ระนอง!J726"")+IMPORTRANGE(""https"&amp;"://docs.google.com/spreadsheets/d/16o_4B-V7AWw_6E93bSpXj_XxVv1oVQctk-B6z1dNEWU/edit?usp=share_link"",""สงขลา!J726"")+IMPORTRANGE(""https://docs.google.com/spreadsheets/d/16cywr71Fj4fA5OGRHsZh30ZG2gwJhMAQv69oVBzYHv0/edit?usp=share_link"",""สตูล!J726"")+IMP"&amp;"ORTRANGE(""https://docs.google.com/spreadsheets/d/1vO9Sws6kMtrVtyvrAJptINXjK8TFBoX9xLYOVK_C8bQ/edit?usp=share_link"",""สุราษฎร์ธานี!J726"")"),1)</f>
        <v>1</v>
      </c>
      <c r="K726" s="37">
        <f t="shared" ca="1" si="331"/>
        <v>2.7027027027027026</v>
      </c>
      <c r="L726" s="37"/>
      <c r="M726" s="188"/>
      <c r="N726" s="765"/>
      <c r="O726" s="37"/>
      <c r="P726" s="37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20.25" customHeight="1">
      <c r="A727" s="743"/>
      <c r="B727" s="575"/>
      <c r="C727" s="575"/>
      <c r="D727" s="575"/>
      <c r="E727" s="575"/>
      <c r="F727" s="575"/>
      <c r="G727" s="188"/>
      <c r="H727" s="181" t="s">
        <v>34</v>
      </c>
      <c r="I727" s="764"/>
      <c r="J727" s="36">
        <f ca="1">IFERROR(__xludf.DUMMYFUNCTION("IMPORTRANGE(""https://docs.google.com/spreadsheets/d/1kC41EOXpGBFOW658Fs3oD8beYlym0-zO54WY-2Qnp9I/edit?usp=share_link"",""กระบี่!J727"")
+IMPORTRANGE(""https://docs.google.com/spreadsheets/d/1FbzMZY_f3MDiEuK7RpCQKrilJ_kpX0Wm7QBZ1L7EjIU/edit?usp=share_link"&amp;""",""ชุมพร!J727"")+IMPORTRANGE(""https://docs.google.com/spreadsheets/d/1v5sN-00LrXuhBxw4dkh2GrG_z4l5oAqOdJRBCsUyMaM/edit?usp=share_link"",""ตรัง!J727"")+IMPORTRANGE(""https://docs.google.com/spreadsheets/d/1T5rRTzFc79aSIvqnzkZNvwPstq829QYz_xALlO1Z0s8/edi"&amp;"t?usp=share_link"",""นครศรีธรรมราช!J727"")+IMPORTRANGE(""https://docs.google.com/spreadsheets/d/1BeghqumK0IvCmRd2QOy6_afsZq7ZtAGrSnVJy2u7WmY/edit?usp=share_link"",""นราธิวาส!J727"")+IMPORTRANGE(""https://docs.google.com/spreadsheets/d/1IwnW3-jjRf74MCLW-6P"&amp;"iFwMUffRQXZwZA7YM609NmRc/edit?usp=share_link"",""ปัตตานี!J727"")+IMPORTRANGE(""https://docs.google.com/spreadsheets/d/1vl4QWbWdFruual5o_wdo6ZSqXZ_it806oja4CctTLKs/edit?usp=share_link"",""พังงา!J727"")+IMPORTRANGE(""https://docs.google.com/spreadsheets/d/1"&amp;"b6QssHQp2FoAPSMKHOy273KNzAomaIKhtdlvuZ_zDNE/edit?usp=share_link"",""พัทลุง!J727"")+IMPORTRANGE(""https://docs.google.com/spreadsheets/d/1o7UZe4_OqlqtLDHrj01Z2YFRSZDf1DMy1n3XViHaxRc/edit?usp=share_link"",""ภูเก็ต!J727"")+IMPORTRANGE(""https://docs.google.c"&amp;"om/spreadsheets/d/1ctPm1vUzcUCPuOj9-eoHUD85PqINFqUB0TjdSWmR5-c/edit?usp=share_link"",""ยะลา!J727"")+IMPORTRANGE(""https://docs.google.com/spreadsheets/d/1YiDIE7Klmt8osgdapRqYWNr7iPGFSsiJqq46S7PYRE0/edit?usp=share_link"",""ระนอง!J727"")+IMPORTRANGE(""https"&amp;"://docs.google.com/spreadsheets/d/16o_4B-V7AWw_6E93bSpXj_XxVv1oVQctk-B6z1dNEWU/edit?usp=share_link"",""สงขลา!J727"")+IMPORTRANGE(""https://docs.google.com/spreadsheets/d/16cywr71Fj4fA5OGRHsZh30ZG2gwJhMAQv69oVBzYHv0/edit?usp=share_link"",""สตูล!J727"")+IMP"&amp;"ORTRANGE(""https://docs.google.com/spreadsheets/d/1vO9Sws6kMtrVtyvrAJptINXjK8TFBoX9xLYOVK_C8bQ/edit?usp=share_link"",""สุราษฎร์ธานี!J727"")"),1)</f>
        <v>1</v>
      </c>
      <c r="K727" s="37"/>
      <c r="L727" s="765"/>
      <c r="M727" s="188"/>
      <c r="N727" s="765"/>
      <c r="O727" s="37"/>
      <c r="P727" s="37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20.25" customHeight="1">
      <c r="A728" s="743"/>
      <c r="B728" s="575"/>
      <c r="C728" s="575"/>
      <c r="D728" s="575"/>
      <c r="E728" s="575"/>
      <c r="F728" s="575"/>
      <c r="G728" s="188"/>
      <c r="H728" s="181" t="s">
        <v>46</v>
      </c>
      <c r="I728" s="764">
        <f ca="1">IFERROR(__xludf.DUMMYFUNCTION("IMPORTRANGE(""https://docs.google.com/spreadsheets/d/1kC41EOXpGBFOW658Fs3oD8beYlym0-zO54WY-2Qnp9I/edit?usp=share_link"",""กระบี่!I728"")
+IMPORTRANGE(""https://docs.google.com/spreadsheets/d/1FbzMZY_f3MDiEuK7RpCQKrilJ_kpX0Wm7QBZ1L7EjIU/edit?usp=share_link"&amp;""",""ชุมพร!I728"")+IMPORTRANGE(""https://docs.google.com/spreadsheets/d/1v5sN-00LrXuhBxw4dkh2GrG_z4l5oAqOdJRBCsUyMaM/edit?usp=share_link"",""ตรัง!I728"")+IMPORTRANGE(""https://docs.google.com/spreadsheets/d/1T5rRTzFc79aSIvqnzkZNvwPstq829QYz_xALlO1Z0s8/edi"&amp;"t?usp=share_link"",""นครศรีธรรมราช!I728"")+IMPORTRANGE(""https://docs.google.com/spreadsheets/d/1BeghqumK0IvCmRd2QOy6_afsZq7ZtAGrSnVJy2u7WmY/edit?usp=share_link"",""นราธิวาส!I728"")+IMPORTRANGE(""https://docs.google.com/spreadsheets/d/1IwnW3-jjRf74MCLW-6P"&amp;"iFwMUffRQXZwZA7YM609NmRc/edit?usp=share_link"",""ปัตตานี!I728"")+IMPORTRANGE(""https://docs.google.com/spreadsheets/d/1vl4QWbWdFruual5o_wdo6ZSqXZ_it806oja4CctTLKs/edit?usp=share_link"",""พังงา!I728"")+IMPORTRANGE(""https://docs.google.com/spreadsheets/d/1"&amp;"b6QssHQp2FoAPSMKHOy273KNzAomaIKhtdlvuZ_zDNE/edit?usp=share_link"",""พัทลุง!I728"")+IMPORTRANGE(""https://docs.google.com/spreadsheets/d/1o7UZe4_OqlqtLDHrj01Z2YFRSZDf1DMy1n3XViHaxRc/edit?usp=share_link"",""ภูเก็ต!I728"")+IMPORTRANGE(""https://docs.google.c"&amp;"om/spreadsheets/d/1ctPm1vUzcUCPuOj9-eoHUD85PqINFqUB0TjdSWmR5-c/edit?usp=share_link"",""ยะลา!I728"")+IMPORTRANGE(""https://docs.google.com/spreadsheets/d/1YiDIE7Klmt8osgdapRqYWNr7iPGFSsiJqq46S7PYRE0/edit?usp=share_link"",""ระนอง!I728"")+IMPORTRANGE(""https"&amp;"://docs.google.com/spreadsheets/d/16o_4B-V7AWw_6E93bSpXj_XxVv1oVQctk-B6z1dNEWU/edit?usp=share_link"",""สงขลา!I728"")+IMPORTRANGE(""https://docs.google.com/spreadsheets/d/16cywr71Fj4fA5OGRHsZh30ZG2gwJhMAQv69oVBzYHv0/edit?usp=share_link"",""สตูล!I728"")+IMP"&amp;"ORTRANGE(""https://docs.google.com/spreadsheets/d/1vO9Sws6kMtrVtyvrAJptINXjK8TFBoX9xLYOVK_C8bQ/edit?usp=share_link"",""สุราษฎร์ธานี!I728"")"),120)</f>
        <v>120</v>
      </c>
      <c r="J728" s="36">
        <f ca="1">IFERROR(__xludf.DUMMYFUNCTION("IMPORTRANGE(""https://docs.google.com/spreadsheets/d/1kC41EOXpGBFOW658Fs3oD8beYlym0-zO54WY-2Qnp9I/edit?usp=share_link"",""กระบี่!J728"")
+IMPORTRANGE(""https://docs.google.com/spreadsheets/d/1FbzMZY_f3MDiEuK7RpCQKrilJ_kpX0Wm7QBZ1L7EjIU/edit?usp=share_link"&amp;""",""ชุมพร!J728"")+IMPORTRANGE(""https://docs.google.com/spreadsheets/d/1v5sN-00LrXuhBxw4dkh2GrG_z4l5oAqOdJRBCsUyMaM/edit?usp=share_link"",""ตรัง!J728"")+IMPORTRANGE(""https://docs.google.com/spreadsheets/d/1T5rRTzFc79aSIvqnzkZNvwPstq829QYz_xALlO1Z0s8/edi"&amp;"t?usp=share_link"",""นครศรีธรรมราช!J728"")+IMPORTRANGE(""https://docs.google.com/spreadsheets/d/1BeghqumK0IvCmRd2QOy6_afsZq7ZtAGrSnVJy2u7WmY/edit?usp=share_link"",""นราธิวาส!J728"")+IMPORTRANGE(""https://docs.google.com/spreadsheets/d/1IwnW3-jjRf74MCLW-6P"&amp;"iFwMUffRQXZwZA7YM609NmRc/edit?usp=share_link"",""ปัตตานี!J728"")+IMPORTRANGE(""https://docs.google.com/spreadsheets/d/1vl4QWbWdFruual5o_wdo6ZSqXZ_it806oja4CctTLKs/edit?usp=share_link"",""พังงา!J728"")+IMPORTRANGE(""https://docs.google.com/spreadsheets/d/1"&amp;"b6QssHQp2FoAPSMKHOy273KNzAomaIKhtdlvuZ_zDNE/edit?usp=share_link"",""พัทลุง!J728"")+IMPORTRANGE(""https://docs.google.com/spreadsheets/d/1o7UZe4_OqlqtLDHrj01Z2YFRSZDf1DMy1n3XViHaxRc/edit?usp=share_link"",""ภูเก็ต!J728"")+IMPORTRANGE(""https://docs.google.c"&amp;"om/spreadsheets/d/1ctPm1vUzcUCPuOj9-eoHUD85PqINFqUB0TjdSWmR5-c/edit?usp=share_link"",""ยะลา!J728"")+IMPORTRANGE(""https://docs.google.com/spreadsheets/d/1YiDIE7Klmt8osgdapRqYWNr7iPGFSsiJqq46S7PYRE0/edit?usp=share_link"",""ระนอง!J728"")+IMPORTRANGE(""https"&amp;"://docs.google.com/spreadsheets/d/16o_4B-V7AWw_6E93bSpXj_XxVv1oVQctk-B6z1dNEWU/edit?usp=share_link"",""สงขลา!J728"")+IMPORTRANGE(""https://docs.google.com/spreadsheets/d/16cywr71Fj4fA5OGRHsZh30ZG2gwJhMAQv69oVBzYHv0/edit?usp=share_link"",""สตูล!J728"")+IMP"&amp;"ORTRANGE(""https://docs.google.com/spreadsheets/d/1vO9Sws6kMtrVtyvrAJptINXjK8TFBoX9xLYOVK_C8bQ/edit?usp=share_link"",""สุราษฎร์ธานี!J728"")"),2.075)</f>
        <v>2.0750000000000002</v>
      </c>
      <c r="K728" s="37">
        <f t="shared" ref="K728:K729" ca="1" si="332">IF(I728&gt;0,J728*100/I728,0)</f>
        <v>1.729166666666667</v>
      </c>
      <c r="L728" s="765"/>
      <c r="M728" s="188"/>
      <c r="N728" s="765"/>
      <c r="O728" s="37"/>
      <c r="P728" s="37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20.25" customHeight="1">
      <c r="A729" s="743"/>
      <c r="B729" s="575"/>
      <c r="C729" s="575"/>
      <c r="D729" s="576" t="s">
        <v>308</v>
      </c>
      <c r="E729" s="575"/>
      <c r="F729" s="575"/>
      <c r="G729" s="188"/>
      <c r="H729" s="191" t="s">
        <v>46</v>
      </c>
      <c r="I729" s="767">
        <f ca="1">IFERROR(__xludf.DUMMYFUNCTION("IMPORTRANGE(""https://docs.google.com/spreadsheets/d/1kC41EOXpGBFOW658Fs3oD8beYlym0-zO54WY-2Qnp9I/edit?usp=share_link"",""กระบี่!I729"")
+IMPORTRANGE(""https://docs.google.com/spreadsheets/d/1FbzMZY_f3MDiEuK7RpCQKrilJ_kpX0Wm7QBZ1L7EjIU/edit?usp=share_link"&amp;""",""ชุมพร!I729"")+IMPORTRANGE(""https://docs.google.com/spreadsheets/d/1v5sN-00LrXuhBxw4dkh2GrG_z4l5oAqOdJRBCsUyMaM/edit?usp=share_link"",""ตรัง!I729"")+IMPORTRANGE(""https://docs.google.com/spreadsheets/d/1T5rRTzFc79aSIvqnzkZNvwPstq829QYz_xALlO1Z0s8/edi"&amp;"t?usp=share_link"",""นครศรีธรรมราช!I729"")+IMPORTRANGE(""https://docs.google.com/spreadsheets/d/1BeghqumK0IvCmRd2QOy6_afsZq7ZtAGrSnVJy2u7WmY/edit?usp=share_link"",""นราธิวาส!I729"")+IMPORTRANGE(""https://docs.google.com/spreadsheets/d/1IwnW3-jjRf74MCLW-6P"&amp;"iFwMUffRQXZwZA7YM609NmRc/edit?usp=share_link"",""ปัตตานี!I729"")+IMPORTRANGE(""https://docs.google.com/spreadsheets/d/1vl4QWbWdFruual5o_wdo6ZSqXZ_it806oja4CctTLKs/edit?usp=share_link"",""พังงา!I729"")+IMPORTRANGE(""https://docs.google.com/spreadsheets/d/1"&amp;"b6QssHQp2FoAPSMKHOy273KNzAomaIKhtdlvuZ_zDNE/edit?usp=share_link"",""พัทลุง!I729"")+IMPORTRANGE(""https://docs.google.com/spreadsheets/d/1o7UZe4_OqlqtLDHrj01Z2YFRSZDf1DMy1n3XViHaxRc/edit?usp=share_link"",""ภูเก็ต!I729"")+IMPORTRANGE(""https://docs.google.c"&amp;"om/spreadsheets/d/1ctPm1vUzcUCPuOj9-eoHUD85PqINFqUB0TjdSWmR5-c/edit?usp=share_link"",""ยะลา!I729"")+IMPORTRANGE(""https://docs.google.com/spreadsheets/d/1YiDIE7Klmt8osgdapRqYWNr7iPGFSsiJqq46S7PYRE0/edit?usp=share_link"",""ระนอง!I729"")+IMPORTRANGE(""https"&amp;"://docs.google.com/spreadsheets/d/16o_4B-V7AWw_6E93bSpXj_XxVv1oVQctk-B6z1dNEWU/edit?usp=share_link"",""สงขลา!I729"")+IMPORTRANGE(""https://docs.google.com/spreadsheets/d/16cywr71Fj4fA5OGRHsZh30ZG2gwJhMAQv69oVBzYHv0/edit?usp=share_link"",""สตูล!I729"")+IMP"&amp;"ORTRANGE(""https://docs.google.com/spreadsheets/d/1vO9Sws6kMtrVtyvrAJptINXjK8TFBoX9xLYOVK_C8bQ/edit?usp=share_link"",""สุราษฎร์ธานี!I729"")"),0)</f>
        <v>0</v>
      </c>
      <c r="J729" s="193">
        <f ca="1">J732+J735</f>
        <v>0</v>
      </c>
      <c r="K729" s="194">
        <f t="shared" ca="1" si="332"/>
        <v>0</v>
      </c>
      <c r="L729" s="37"/>
      <c r="M729" s="188"/>
      <c r="N729" s="765"/>
      <c r="O729" s="37"/>
      <c r="P729" s="37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20.25" customHeight="1">
      <c r="A730" s="743"/>
      <c r="B730" s="575"/>
      <c r="C730" s="575"/>
      <c r="D730" s="575"/>
      <c r="E730" s="576" t="s">
        <v>309</v>
      </c>
      <c r="F730" s="575"/>
      <c r="G730" s="188"/>
      <c r="H730" s="181" t="s">
        <v>35</v>
      </c>
      <c r="I730" s="764"/>
      <c r="J730" s="182">
        <f ca="1">IFERROR(__xludf.DUMMYFUNCTION("IMPORTRANGE(""https://docs.google.com/spreadsheets/d/1kC41EOXpGBFOW658Fs3oD8beYlym0-zO54WY-2Qnp9I/edit?usp=share_link"",""กระบี่!J730"")
+IMPORTRANGE(""https://docs.google.com/spreadsheets/d/1FbzMZY_f3MDiEuK7RpCQKrilJ_kpX0Wm7QBZ1L7EjIU/edit?usp=share_link"&amp;""",""ชุมพร!J730"")+IMPORTRANGE(""https://docs.google.com/spreadsheets/d/1v5sN-00LrXuhBxw4dkh2GrG_z4l5oAqOdJRBCsUyMaM/edit?usp=share_link"",""ตรัง!J730"")+IMPORTRANGE(""https://docs.google.com/spreadsheets/d/1T5rRTzFc79aSIvqnzkZNvwPstq829QYz_xALlO1Z0s8/edi"&amp;"t?usp=share_link"",""นครศรีธรรมราช!J730"")+IMPORTRANGE(""https://docs.google.com/spreadsheets/d/1BeghqumK0IvCmRd2QOy6_afsZq7ZtAGrSnVJy2u7WmY/edit?usp=share_link"",""นราธิวาส!J730"")+IMPORTRANGE(""https://docs.google.com/spreadsheets/d/1IwnW3-jjRf74MCLW-6P"&amp;"iFwMUffRQXZwZA7YM609NmRc/edit?usp=share_link"",""ปัตตานี!J730"")+IMPORTRANGE(""https://docs.google.com/spreadsheets/d/1vl4QWbWdFruual5o_wdo6ZSqXZ_it806oja4CctTLKs/edit?usp=share_link"",""พังงา!J730"")+IMPORTRANGE(""https://docs.google.com/spreadsheets/d/1"&amp;"b6QssHQp2FoAPSMKHOy273KNzAomaIKhtdlvuZ_zDNE/edit?usp=share_link"",""พัทลุง!J730"")+IMPORTRANGE(""https://docs.google.com/spreadsheets/d/1o7UZe4_OqlqtLDHrj01Z2YFRSZDf1DMy1n3XViHaxRc/edit?usp=share_link"",""ภูเก็ต!J730"")+IMPORTRANGE(""https://docs.google.c"&amp;"om/spreadsheets/d/1ctPm1vUzcUCPuOj9-eoHUD85PqINFqUB0TjdSWmR5-c/edit?usp=share_link"",""ยะลา!J730"")+IMPORTRANGE(""https://docs.google.com/spreadsheets/d/1YiDIE7Klmt8osgdapRqYWNr7iPGFSsiJqq46S7PYRE0/edit?usp=share_link"",""ระนอง!J730"")+IMPORTRANGE(""https"&amp;"://docs.google.com/spreadsheets/d/16o_4B-V7AWw_6E93bSpXj_XxVv1oVQctk-B6z1dNEWU/edit?usp=share_link"",""สงขลา!J730"")+IMPORTRANGE(""https://docs.google.com/spreadsheets/d/16cywr71Fj4fA5OGRHsZh30ZG2gwJhMAQv69oVBzYHv0/edit?usp=share_link"",""สตูล!J730"")+IMP"&amp;"ORTRANGE(""https://docs.google.com/spreadsheets/d/1vO9Sws6kMtrVtyvrAJptINXjK8TFBoX9xLYOVK_C8bQ/edit?usp=share_link"",""สุราษฎร์ธานี!J730"")"),0)</f>
        <v>0</v>
      </c>
      <c r="K730" s="37"/>
      <c r="L730" s="765"/>
      <c r="M730" s="37"/>
      <c r="N730" s="765"/>
      <c r="O730" s="37"/>
      <c r="P730" s="37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20.25" customHeight="1">
      <c r="A731" s="743"/>
      <c r="B731" s="575"/>
      <c r="C731" s="575"/>
      <c r="D731" s="575"/>
      <c r="E731" s="575"/>
      <c r="F731" s="575"/>
      <c r="G731" s="188"/>
      <c r="H731" s="181" t="s">
        <v>34</v>
      </c>
      <c r="I731" s="764"/>
      <c r="J731" s="182">
        <f ca="1">IFERROR(__xludf.DUMMYFUNCTION("IMPORTRANGE(""https://docs.google.com/spreadsheets/d/1kC41EOXpGBFOW658Fs3oD8beYlym0-zO54WY-2Qnp9I/edit?usp=share_link"",""กระบี่!J731"")
+IMPORTRANGE(""https://docs.google.com/spreadsheets/d/1FbzMZY_f3MDiEuK7RpCQKrilJ_kpX0Wm7QBZ1L7EjIU/edit?usp=share_link"&amp;""",""ชุมพร!J731"")+IMPORTRANGE(""https://docs.google.com/spreadsheets/d/1v5sN-00LrXuhBxw4dkh2GrG_z4l5oAqOdJRBCsUyMaM/edit?usp=share_link"",""ตรัง!J731"")+IMPORTRANGE(""https://docs.google.com/spreadsheets/d/1T5rRTzFc79aSIvqnzkZNvwPstq829QYz_xALlO1Z0s8/edi"&amp;"t?usp=share_link"",""นครศรีธรรมราช!J731"")+IMPORTRANGE(""https://docs.google.com/spreadsheets/d/1BeghqumK0IvCmRd2QOy6_afsZq7ZtAGrSnVJy2u7WmY/edit?usp=share_link"",""นราธิวาส!J731"")+IMPORTRANGE(""https://docs.google.com/spreadsheets/d/1IwnW3-jjRf74MCLW-6P"&amp;"iFwMUffRQXZwZA7YM609NmRc/edit?usp=share_link"",""ปัตตานี!J731"")+IMPORTRANGE(""https://docs.google.com/spreadsheets/d/1vl4QWbWdFruual5o_wdo6ZSqXZ_it806oja4CctTLKs/edit?usp=share_link"",""พังงา!J731"")+IMPORTRANGE(""https://docs.google.com/spreadsheets/d/1"&amp;"b6QssHQp2FoAPSMKHOy273KNzAomaIKhtdlvuZ_zDNE/edit?usp=share_link"",""พัทลุง!J731"")+IMPORTRANGE(""https://docs.google.com/spreadsheets/d/1o7UZe4_OqlqtLDHrj01Z2YFRSZDf1DMy1n3XViHaxRc/edit?usp=share_link"",""ภูเก็ต!J731"")+IMPORTRANGE(""https://docs.google.c"&amp;"om/spreadsheets/d/1ctPm1vUzcUCPuOj9-eoHUD85PqINFqUB0TjdSWmR5-c/edit?usp=share_link"",""ยะลา!J731"")+IMPORTRANGE(""https://docs.google.com/spreadsheets/d/1YiDIE7Klmt8osgdapRqYWNr7iPGFSsiJqq46S7PYRE0/edit?usp=share_link"",""ระนอง!J731"")+IMPORTRANGE(""https"&amp;"://docs.google.com/spreadsheets/d/16o_4B-V7AWw_6E93bSpXj_XxVv1oVQctk-B6z1dNEWU/edit?usp=share_link"",""สงขลา!J731"")+IMPORTRANGE(""https://docs.google.com/spreadsheets/d/16cywr71Fj4fA5OGRHsZh30ZG2gwJhMAQv69oVBzYHv0/edit?usp=share_link"",""สตูล!J731"")+IMP"&amp;"ORTRANGE(""https://docs.google.com/spreadsheets/d/1vO9Sws6kMtrVtyvrAJptINXjK8TFBoX9xLYOVK_C8bQ/edit?usp=share_link"",""สุราษฎร์ธานี!J731"")"),0)</f>
        <v>0</v>
      </c>
      <c r="K731" s="37"/>
      <c r="L731" s="765"/>
      <c r="M731" s="37"/>
      <c r="N731" s="765"/>
      <c r="O731" s="37"/>
      <c r="P731" s="37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20.25" customHeight="1">
      <c r="A732" s="743"/>
      <c r="B732" s="575"/>
      <c r="C732" s="575"/>
      <c r="D732" s="575"/>
      <c r="E732" s="575"/>
      <c r="F732" s="575"/>
      <c r="G732" s="188"/>
      <c r="H732" s="181" t="s">
        <v>46</v>
      </c>
      <c r="I732" s="764"/>
      <c r="J732" s="182">
        <f ca="1">IFERROR(__xludf.DUMMYFUNCTION("IMPORTRANGE(""https://docs.google.com/spreadsheets/d/1kC41EOXpGBFOW658Fs3oD8beYlym0-zO54WY-2Qnp9I/edit?usp=share_link"",""กระบี่!J732"")
+IMPORTRANGE(""https://docs.google.com/spreadsheets/d/1FbzMZY_f3MDiEuK7RpCQKrilJ_kpX0Wm7QBZ1L7EjIU/edit?usp=share_link"&amp;""",""ชุมพร!J732"")+IMPORTRANGE(""https://docs.google.com/spreadsheets/d/1v5sN-00LrXuhBxw4dkh2GrG_z4l5oAqOdJRBCsUyMaM/edit?usp=share_link"",""ตรัง!J732"")+IMPORTRANGE(""https://docs.google.com/spreadsheets/d/1T5rRTzFc79aSIvqnzkZNvwPstq829QYz_xALlO1Z0s8/edi"&amp;"t?usp=share_link"",""นครศรีธรรมราช!J732"")+IMPORTRANGE(""https://docs.google.com/spreadsheets/d/1BeghqumK0IvCmRd2QOy6_afsZq7ZtAGrSnVJy2u7WmY/edit?usp=share_link"",""นราธิวาส!J732"")+IMPORTRANGE(""https://docs.google.com/spreadsheets/d/1IwnW3-jjRf74MCLW-6P"&amp;"iFwMUffRQXZwZA7YM609NmRc/edit?usp=share_link"",""ปัตตานี!J732"")+IMPORTRANGE(""https://docs.google.com/spreadsheets/d/1vl4QWbWdFruual5o_wdo6ZSqXZ_it806oja4CctTLKs/edit?usp=share_link"",""พังงา!J732"")+IMPORTRANGE(""https://docs.google.com/spreadsheets/d/1"&amp;"b6QssHQp2FoAPSMKHOy273KNzAomaIKhtdlvuZ_zDNE/edit?usp=share_link"",""พัทลุง!J732"")+IMPORTRANGE(""https://docs.google.com/spreadsheets/d/1o7UZe4_OqlqtLDHrj01Z2YFRSZDf1DMy1n3XViHaxRc/edit?usp=share_link"",""ภูเก็ต!J732"")+IMPORTRANGE(""https://docs.google.c"&amp;"om/spreadsheets/d/1ctPm1vUzcUCPuOj9-eoHUD85PqINFqUB0TjdSWmR5-c/edit?usp=share_link"",""ยะลา!J732"")+IMPORTRANGE(""https://docs.google.com/spreadsheets/d/1YiDIE7Klmt8osgdapRqYWNr7iPGFSsiJqq46S7PYRE0/edit?usp=share_link"",""ระนอง!J732"")+IMPORTRANGE(""https"&amp;"://docs.google.com/spreadsheets/d/16o_4B-V7AWw_6E93bSpXj_XxVv1oVQctk-B6z1dNEWU/edit?usp=share_link"",""สงขลา!J732"")+IMPORTRANGE(""https://docs.google.com/spreadsheets/d/16cywr71Fj4fA5OGRHsZh30ZG2gwJhMAQv69oVBzYHv0/edit?usp=share_link"",""สตูล!J732"")+IMP"&amp;"ORTRANGE(""https://docs.google.com/spreadsheets/d/1vO9Sws6kMtrVtyvrAJptINXjK8TFBoX9xLYOVK_C8bQ/edit?usp=share_link"",""สุราษฎร์ธานี!J732"")"),0)</f>
        <v>0</v>
      </c>
      <c r="K732" s="37"/>
      <c r="L732" s="765"/>
      <c r="M732" s="37"/>
      <c r="N732" s="765"/>
      <c r="O732" s="37"/>
      <c r="P732" s="37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20.25" customHeight="1">
      <c r="A733" s="743"/>
      <c r="B733" s="575"/>
      <c r="C733" s="575"/>
      <c r="D733" s="575"/>
      <c r="E733" s="576" t="s">
        <v>310</v>
      </c>
      <c r="F733" s="575"/>
      <c r="G733" s="188"/>
      <c r="H733" s="181" t="s">
        <v>35</v>
      </c>
      <c r="I733" s="764"/>
      <c r="J733" s="182">
        <f ca="1">IFERROR(__xludf.DUMMYFUNCTION("IMPORTRANGE(""https://docs.google.com/spreadsheets/d/1kC41EOXpGBFOW658Fs3oD8beYlym0-zO54WY-2Qnp9I/edit?usp=share_link"",""กระบี่!J733"")
+IMPORTRANGE(""https://docs.google.com/spreadsheets/d/1FbzMZY_f3MDiEuK7RpCQKrilJ_kpX0Wm7QBZ1L7EjIU/edit?usp=share_link"&amp;""",""ชุมพร!J733"")+IMPORTRANGE(""https://docs.google.com/spreadsheets/d/1v5sN-00LrXuhBxw4dkh2GrG_z4l5oAqOdJRBCsUyMaM/edit?usp=share_link"",""ตรัง!J733"")+IMPORTRANGE(""https://docs.google.com/spreadsheets/d/1T5rRTzFc79aSIvqnzkZNvwPstq829QYz_xALlO1Z0s8/edi"&amp;"t?usp=share_link"",""นครศรีธรรมราช!J733"")+IMPORTRANGE(""https://docs.google.com/spreadsheets/d/1BeghqumK0IvCmRd2QOy6_afsZq7ZtAGrSnVJy2u7WmY/edit?usp=share_link"",""นราธิวาส!J733"")+IMPORTRANGE(""https://docs.google.com/spreadsheets/d/1IwnW3-jjRf74MCLW-6P"&amp;"iFwMUffRQXZwZA7YM609NmRc/edit?usp=share_link"",""ปัตตานี!J733"")+IMPORTRANGE(""https://docs.google.com/spreadsheets/d/1vl4QWbWdFruual5o_wdo6ZSqXZ_it806oja4CctTLKs/edit?usp=share_link"",""พังงา!J733"")+IMPORTRANGE(""https://docs.google.com/spreadsheets/d/1"&amp;"b6QssHQp2FoAPSMKHOy273KNzAomaIKhtdlvuZ_zDNE/edit?usp=share_link"",""พัทลุง!J733"")+IMPORTRANGE(""https://docs.google.com/spreadsheets/d/1o7UZe4_OqlqtLDHrj01Z2YFRSZDf1DMy1n3XViHaxRc/edit?usp=share_link"",""ภูเก็ต!J733"")+IMPORTRANGE(""https://docs.google.c"&amp;"om/spreadsheets/d/1ctPm1vUzcUCPuOj9-eoHUD85PqINFqUB0TjdSWmR5-c/edit?usp=share_link"",""ยะลา!J733"")+IMPORTRANGE(""https://docs.google.com/spreadsheets/d/1YiDIE7Klmt8osgdapRqYWNr7iPGFSsiJqq46S7PYRE0/edit?usp=share_link"",""ระนอง!J733"")+IMPORTRANGE(""https"&amp;"://docs.google.com/spreadsheets/d/16o_4B-V7AWw_6E93bSpXj_XxVv1oVQctk-B6z1dNEWU/edit?usp=share_link"",""สงขลา!J733"")+IMPORTRANGE(""https://docs.google.com/spreadsheets/d/16cywr71Fj4fA5OGRHsZh30ZG2gwJhMAQv69oVBzYHv0/edit?usp=share_link"",""สตูล!J733"")+IMP"&amp;"ORTRANGE(""https://docs.google.com/spreadsheets/d/1vO9Sws6kMtrVtyvrAJptINXjK8TFBoX9xLYOVK_C8bQ/edit?usp=share_link"",""สุราษฎร์ธานี!J733"")"),0)</f>
        <v>0</v>
      </c>
      <c r="K733" s="37"/>
      <c r="L733" s="765"/>
      <c r="M733" s="37"/>
      <c r="N733" s="765"/>
      <c r="O733" s="37"/>
      <c r="P733" s="37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20.25" customHeight="1">
      <c r="A734" s="743"/>
      <c r="B734" s="575"/>
      <c r="C734" s="575"/>
      <c r="D734" s="575"/>
      <c r="E734" s="575"/>
      <c r="F734" s="575"/>
      <c r="G734" s="188"/>
      <c r="H734" s="181" t="s">
        <v>34</v>
      </c>
      <c r="I734" s="764"/>
      <c r="J734" s="182">
        <f ca="1">IFERROR(__xludf.DUMMYFUNCTION("IMPORTRANGE(""https://docs.google.com/spreadsheets/d/1kC41EOXpGBFOW658Fs3oD8beYlym0-zO54WY-2Qnp9I/edit?usp=share_link"",""กระบี่!J734"")
+IMPORTRANGE(""https://docs.google.com/spreadsheets/d/1FbzMZY_f3MDiEuK7RpCQKrilJ_kpX0Wm7QBZ1L7EjIU/edit?usp=share_link"&amp;""",""ชุมพร!J734"")+IMPORTRANGE(""https://docs.google.com/spreadsheets/d/1v5sN-00LrXuhBxw4dkh2GrG_z4l5oAqOdJRBCsUyMaM/edit?usp=share_link"",""ตรัง!J734"")+IMPORTRANGE(""https://docs.google.com/spreadsheets/d/1T5rRTzFc79aSIvqnzkZNvwPstq829QYz_xALlO1Z0s8/edi"&amp;"t?usp=share_link"",""นครศรีธรรมราช!J734"")+IMPORTRANGE(""https://docs.google.com/spreadsheets/d/1BeghqumK0IvCmRd2QOy6_afsZq7ZtAGrSnVJy2u7WmY/edit?usp=share_link"",""นราธิวาส!J734"")+IMPORTRANGE(""https://docs.google.com/spreadsheets/d/1IwnW3-jjRf74MCLW-6P"&amp;"iFwMUffRQXZwZA7YM609NmRc/edit?usp=share_link"",""ปัตตานี!J734"")+IMPORTRANGE(""https://docs.google.com/spreadsheets/d/1vl4QWbWdFruual5o_wdo6ZSqXZ_it806oja4CctTLKs/edit?usp=share_link"",""พังงา!J734"")+IMPORTRANGE(""https://docs.google.com/spreadsheets/d/1"&amp;"b6QssHQp2FoAPSMKHOy273KNzAomaIKhtdlvuZ_zDNE/edit?usp=share_link"",""พัทลุง!J734"")+IMPORTRANGE(""https://docs.google.com/spreadsheets/d/1o7UZe4_OqlqtLDHrj01Z2YFRSZDf1DMy1n3XViHaxRc/edit?usp=share_link"",""ภูเก็ต!J734"")+IMPORTRANGE(""https://docs.google.c"&amp;"om/spreadsheets/d/1ctPm1vUzcUCPuOj9-eoHUD85PqINFqUB0TjdSWmR5-c/edit?usp=share_link"",""ยะลา!J734"")+IMPORTRANGE(""https://docs.google.com/spreadsheets/d/1YiDIE7Klmt8osgdapRqYWNr7iPGFSsiJqq46S7PYRE0/edit?usp=share_link"",""ระนอง!J734"")+IMPORTRANGE(""https"&amp;"://docs.google.com/spreadsheets/d/16o_4B-V7AWw_6E93bSpXj_XxVv1oVQctk-B6z1dNEWU/edit?usp=share_link"",""สงขลา!J734"")+IMPORTRANGE(""https://docs.google.com/spreadsheets/d/16cywr71Fj4fA5OGRHsZh30ZG2gwJhMAQv69oVBzYHv0/edit?usp=share_link"",""สตูล!J734"")+IMP"&amp;"ORTRANGE(""https://docs.google.com/spreadsheets/d/1vO9Sws6kMtrVtyvrAJptINXjK8TFBoX9xLYOVK_C8bQ/edit?usp=share_link"",""สุราษฎร์ธานี!J734"")"),0)</f>
        <v>0</v>
      </c>
      <c r="K734" s="37"/>
      <c r="L734" s="765"/>
      <c r="M734" s="37"/>
      <c r="N734" s="765"/>
      <c r="O734" s="37"/>
      <c r="P734" s="37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20.25" customHeight="1">
      <c r="A735" s="769"/>
      <c r="B735" s="770" t="s">
        <v>311</v>
      </c>
      <c r="C735" s="733"/>
      <c r="D735" s="733"/>
      <c r="E735" s="733"/>
      <c r="F735" s="733"/>
      <c r="G735" s="734"/>
      <c r="H735" s="422" t="s">
        <v>46</v>
      </c>
      <c r="I735" s="771"/>
      <c r="J735" s="424">
        <f ca="1">IFERROR(__xludf.DUMMYFUNCTION("IMPORTRANGE(""https://docs.google.com/spreadsheets/d/1kC41EOXpGBFOW658Fs3oD8beYlym0-zO54WY-2Qnp9I/edit?usp=share_link"",""กระบี่!J735"")
+IMPORTRANGE(""https://docs.google.com/spreadsheets/d/1FbzMZY_f3MDiEuK7RpCQKrilJ_kpX0Wm7QBZ1L7EjIU/edit?usp=share_link"&amp;""",""ชุมพร!J735"")+IMPORTRANGE(""https://docs.google.com/spreadsheets/d/1v5sN-00LrXuhBxw4dkh2GrG_z4l5oAqOdJRBCsUyMaM/edit?usp=share_link"",""ตรัง!J735"")+IMPORTRANGE(""https://docs.google.com/spreadsheets/d/1T5rRTzFc79aSIvqnzkZNvwPstq829QYz_xALlO1Z0s8/edi"&amp;"t?usp=share_link"",""นครศรีธรรมราช!J735"")+IMPORTRANGE(""https://docs.google.com/spreadsheets/d/1BeghqumK0IvCmRd2QOy6_afsZq7ZtAGrSnVJy2u7WmY/edit?usp=share_link"",""นราธิวาส!J735"")+IMPORTRANGE(""https://docs.google.com/spreadsheets/d/1IwnW3-jjRf74MCLW-6P"&amp;"iFwMUffRQXZwZA7YM609NmRc/edit?usp=share_link"",""ปัตตานี!J735"")+IMPORTRANGE(""https://docs.google.com/spreadsheets/d/1vl4QWbWdFruual5o_wdo6ZSqXZ_it806oja4CctTLKs/edit?usp=share_link"",""พังงา!J735"")+IMPORTRANGE(""https://docs.google.com/spreadsheets/d/1"&amp;"b6QssHQp2FoAPSMKHOy273KNzAomaIKhtdlvuZ_zDNE/edit?usp=share_link"",""พัทลุง!J735"")+IMPORTRANGE(""https://docs.google.com/spreadsheets/d/1o7UZe4_OqlqtLDHrj01Z2YFRSZDf1DMy1n3XViHaxRc/edit?usp=share_link"",""ภูเก็ต!J735"")+IMPORTRANGE(""https://docs.google.c"&amp;"om/spreadsheets/d/1ctPm1vUzcUCPuOj9-eoHUD85PqINFqUB0TjdSWmR5-c/edit?usp=share_link"",""ยะลา!J735"")+IMPORTRANGE(""https://docs.google.com/spreadsheets/d/1YiDIE7Klmt8osgdapRqYWNr7iPGFSsiJqq46S7PYRE0/edit?usp=share_link"",""ระนอง!J735"")+IMPORTRANGE(""https"&amp;"://docs.google.com/spreadsheets/d/16o_4B-V7AWw_6E93bSpXj_XxVv1oVQctk-B6z1dNEWU/edit?usp=share_link"",""สงขลา!J735"")+IMPORTRANGE(""https://docs.google.com/spreadsheets/d/16cywr71Fj4fA5OGRHsZh30ZG2gwJhMAQv69oVBzYHv0/edit?usp=share_link"",""สตูล!J735"")+IMP"&amp;"ORTRANGE(""https://docs.google.com/spreadsheets/d/1vO9Sws6kMtrVtyvrAJptINXjK8TFBoX9xLYOVK_C8bQ/edit?usp=share_link"",""สุราษฎร์ธานี!J735"")"),0)</f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20.25" hidden="1" customHeight="1">
      <c r="A736" s="773">
        <v>9</v>
      </c>
      <c r="B736" s="774" t="s">
        <v>312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20.25" hidden="1" customHeight="1">
      <c r="A737" s="598"/>
      <c r="B737" s="599"/>
      <c r="C737" s="599" t="s">
        <v>16</v>
      </c>
      <c r="D737" s="892" t="s">
        <v>17</v>
      </c>
      <c r="E737" s="888"/>
      <c r="F737" s="888"/>
      <c r="G737" s="602"/>
      <c r="H737" s="645" t="s">
        <v>12</v>
      </c>
      <c r="I737" s="43"/>
      <c r="J737" s="43"/>
      <c r="K737" s="44"/>
      <c r="L737" s="646">
        <f t="shared" ref="L737:N737" si="333">L738+L739</f>
        <v>0</v>
      </c>
      <c r="M737" s="646">
        <f t="shared" si="333"/>
        <v>0</v>
      </c>
      <c r="N737" s="646">
        <f t="shared" si="333"/>
        <v>0</v>
      </c>
      <c r="O737" s="646">
        <f t="shared" ref="O737:O742" si="334">IF(L737&gt;0,N737*100/L737,0)</f>
        <v>0</v>
      </c>
      <c r="P737" s="646">
        <f t="shared" ref="P737:P742" si="335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20.25" hidden="1" customHeight="1">
      <c r="A738" s="598"/>
      <c r="B738" s="599"/>
      <c r="C738" s="599"/>
      <c r="D738" s="600"/>
      <c r="E738" s="601" t="s">
        <v>184</v>
      </c>
      <c r="F738" s="599"/>
      <c r="G738" s="602"/>
      <c r="H738" s="164" t="s">
        <v>12</v>
      </c>
      <c r="I738" s="43"/>
      <c r="J738" s="43"/>
      <c r="K738" s="44"/>
      <c r="L738" s="44">
        <f t="shared" ref="L738:N738" si="336">L741+L748</f>
        <v>0</v>
      </c>
      <c r="M738" s="44">
        <f t="shared" si="336"/>
        <v>0</v>
      </c>
      <c r="N738" s="44">
        <f t="shared" si="336"/>
        <v>0</v>
      </c>
      <c r="O738" s="44">
        <f t="shared" si="334"/>
        <v>0</v>
      </c>
      <c r="P738" s="44">
        <f t="shared" si="335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20.25" hidden="1" customHeight="1">
      <c r="A739" s="598"/>
      <c r="B739" s="604"/>
      <c r="C739" s="599"/>
      <c r="D739" s="600"/>
      <c r="E739" s="601" t="s">
        <v>185</v>
      </c>
      <c r="F739" s="599"/>
      <c r="G739" s="602"/>
      <c r="H739" s="164" t="s">
        <v>12</v>
      </c>
      <c r="I739" s="43"/>
      <c r="J739" s="43"/>
      <c r="K739" s="44"/>
      <c r="L739" s="44">
        <f t="shared" ref="L739:N739" si="337">L742+L749</f>
        <v>0</v>
      </c>
      <c r="M739" s="44">
        <f t="shared" si="337"/>
        <v>0</v>
      </c>
      <c r="N739" s="44">
        <f t="shared" si="337"/>
        <v>0</v>
      </c>
      <c r="O739" s="44">
        <f t="shared" si="334"/>
        <v>0</v>
      </c>
      <c r="P739" s="44">
        <f t="shared" si="335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20.25" hidden="1" customHeight="1">
      <c r="A740" s="598"/>
      <c r="B740" s="604"/>
      <c r="C740" s="599"/>
      <c r="D740" s="781" t="s">
        <v>20</v>
      </c>
      <c r="E740" s="599"/>
      <c r="F740" s="599"/>
      <c r="G740" s="602"/>
      <c r="H740" s="645" t="s">
        <v>12</v>
      </c>
      <c r="I740" s="165"/>
      <c r="J740" s="165"/>
      <c r="K740" s="166"/>
      <c r="L740" s="646">
        <f t="shared" ref="L740:N740" si="338">L741+L742</f>
        <v>0</v>
      </c>
      <c r="M740" s="646">
        <f t="shared" si="338"/>
        <v>0</v>
      </c>
      <c r="N740" s="646">
        <f t="shared" si="338"/>
        <v>0</v>
      </c>
      <c r="O740" s="646">
        <f t="shared" si="334"/>
        <v>0</v>
      </c>
      <c r="P740" s="646">
        <f t="shared" si="335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20.25" hidden="1" customHeight="1">
      <c r="A741" s="598"/>
      <c r="B741" s="604"/>
      <c r="C741" s="599"/>
      <c r="D741" s="600"/>
      <c r="E741" s="601" t="s">
        <v>184</v>
      </c>
      <c r="F741" s="599"/>
      <c r="G741" s="602"/>
      <c r="H741" s="164" t="s">
        <v>12</v>
      </c>
      <c r="I741" s="43"/>
      <c r="J741" s="43"/>
      <c r="K741" s="44"/>
      <c r="L741" s="92">
        <v>0</v>
      </c>
      <c r="M741" s="92">
        <v>0</v>
      </c>
      <c r="N741" s="92">
        <v>0</v>
      </c>
      <c r="O741" s="44">
        <f t="shared" si="334"/>
        <v>0</v>
      </c>
      <c r="P741" s="44">
        <f t="shared" si="335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20.25" hidden="1" customHeight="1">
      <c r="A742" s="598"/>
      <c r="B742" s="604"/>
      <c r="C742" s="599"/>
      <c r="D742" s="600"/>
      <c r="E742" s="601" t="s">
        <v>185</v>
      </c>
      <c r="F742" s="599"/>
      <c r="G742" s="602"/>
      <c r="H742" s="164" t="s">
        <v>12</v>
      </c>
      <c r="I742" s="43"/>
      <c r="J742" s="43"/>
      <c r="K742" s="44"/>
      <c r="L742" s="92">
        <v>0</v>
      </c>
      <c r="M742" s="92">
        <v>0</v>
      </c>
      <c r="N742" s="44">
        <f>N743+N744+N745+N746</f>
        <v>0</v>
      </c>
      <c r="O742" s="44">
        <f t="shared" si="334"/>
        <v>0</v>
      </c>
      <c r="P742" s="44">
        <f t="shared" si="335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20.25" hidden="1" customHeight="1">
      <c r="A743" s="648"/>
      <c r="B743" s="604"/>
      <c r="C743" s="599"/>
      <c r="D743" s="599"/>
      <c r="E743" s="599"/>
      <c r="F743" s="601" t="s">
        <v>186</v>
      </c>
      <c r="G743" s="602"/>
      <c r="H743" s="164" t="s">
        <v>12</v>
      </c>
      <c r="I743" s="43"/>
      <c r="J743" s="43"/>
      <c r="K743" s="44"/>
      <c r="L743" s="44"/>
      <c r="M743" s="44"/>
      <c r="N743" s="44"/>
      <c r="O743" s="44"/>
      <c r="P743" s="44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20.25" hidden="1" customHeight="1">
      <c r="A744" s="648"/>
      <c r="B744" s="604"/>
      <c r="C744" s="599"/>
      <c r="D744" s="599"/>
      <c r="E744" s="599"/>
      <c r="F744" s="601" t="s">
        <v>187</v>
      </c>
      <c r="G744" s="602"/>
      <c r="H744" s="164" t="s">
        <v>12</v>
      </c>
      <c r="I744" s="43"/>
      <c r="J744" s="43"/>
      <c r="K744" s="44"/>
      <c r="L744" s="44"/>
      <c r="M744" s="44"/>
      <c r="N744" s="44"/>
      <c r="O744" s="44"/>
      <c r="P744" s="44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20.25" hidden="1" customHeight="1">
      <c r="A745" s="648"/>
      <c r="B745" s="604"/>
      <c r="C745" s="599"/>
      <c r="D745" s="599"/>
      <c r="E745" s="599"/>
      <c r="F745" s="601" t="s">
        <v>188</v>
      </c>
      <c r="G745" s="602"/>
      <c r="H745" s="164" t="s">
        <v>12</v>
      </c>
      <c r="I745" s="43"/>
      <c r="J745" s="43"/>
      <c r="K745" s="44"/>
      <c r="L745" s="44"/>
      <c r="M745" s="44"/>
      <c r="N745" s="44"/>
      <c r="O745" s="44"/>
      <c r="P745" s="44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20.25" hidden="1" customHeight="1">
      <c r="A746" s="648"/>
      <c r="B746" s="604"/>
      <c r="C746" s="599"/>
      <c r="D746" s="599"/>
      <c r="E746" s="599"/>
      <c r="F746" s="601" t="s">
        <v>189</v>
      </c>
      <c r="G746" s="602"/>
      <c r="H746" s="164" t="s">
        <v>12</v>
      </c>
      <c r="I746" s="43"/>
      <c r="J746" s="43"/>
      <c r="K746" s="44"/>
      <c r="L746" s="44"/>
      <c r="M746" s="44"/>
      <c r="N746" s="44"/>
      <c r="O746" s="44"/>
      <c r="P746" s="44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20.25" hidden="1" customHeight="1">
      <c r="A747" s="598"/>
      <c r="B747" s="604"/>
      <c r="C747" s="599"/>
      <c r="D747" s="781" t="s">
        <v>21</v>
      </c>
      <c r="E747" s="599"/>
      <c r="F747" s="599"/>
      <c r="G747" s="602"/>
      <c r="H747" s="782" t="s">
        <v>12</v>
      </c>
      <c r="I747" s="165"/>
      <c r="J747" s="165"/>
      <c r="K747" s="166"/>
      <c r="L747" s="646">
        <f t="shared" ref="L747:N747" si="339">L748+L749</f>
        <v>0</v>
      </c>
      <c r="M747" s="646">
        <f t="shared" si="339"/>
        <v>0</v>
      </c>
      <c r="N747" s="646">
        <f t="shared" si="339"/>
        <v>0</v>
      </c>
      <c r="O747" s="646">
        <f t="shared" ref="O747:O749" si="340">IF(L747&gt;0,N747*100/L747,0)</f>
        <v>0</v>
      </c>
      <c r="P747" s="646">
        <f t="shared" ref="P747:P749" si="34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20.25" hidden="1" customHeight="1">
      <c r="A748" s="598"/>
      <c r="B748" s="604"/>
      <c r="C748" s="599"/>
      <c r="D748" s="599"/>
      <c r="E748" s="601" t="s">
        <v>18</v>
      </c>
      <c r="F748" s="599"/>
      <c r="G748" s="602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44">
        <f t="shared" si="340"/>
        <v>0</v>
      </c>
      <c r="P748" s="44">
        <f t="shared" si="34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20.25" hidden="1" customHeight="1">
      <c r="A749" s="598"/>
      <c r="B749" s="604"/>
      <c r="C749" s="599"/>
      <c r="D749" s="599"/>
      <c r="E749" s="601" t="s">
        <v>19</v>
      </c>
      <c r="F749" s="599"/>
      <c r="G749" s="602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44">
        <f t="shared" si="340"/>
        <v>0</v>
      </c>
      <c r="P749" s="44">
        <f t="shared" si="34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20.25" hidden="1" customHeight="1">
      <c r="A750" s="613"/>
      <c r="B750" s="614"/>
      <c r="C750" s="599" t="s">
        <v>16</v>
      </c>
      <c r="D750" s="783" t="s">
        <v>38</v>
      </c>
      <c r="E750" s="650"/>
      <c r="F750" s="650"/>
      <c r="G750" s="651"/>
      <c r="H750" s="365"/>
      <c r="I750" s="165"/>
      <c r="J750" s="165"/>
      <c r="K750" s="166"/>
      <c r="L750" s="166"/>
      <c r="M750" s="166"/>
      <c r="N750" s="166"/>
      <c r="O750" s="166"/>
      <c r="P750" s="166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20.25" hidden="1" customHeight="1">
      <c r="A751" s="648"/>
      <c r="B751" s="604"/>
      <c r="C751" s="599"/>
      <c r="D751" s="599"/>
      <c r="E751" s="601" t="s">
        <v>313</v>
      </c>
      <c r="F751" s="599"/>
      <c r="G751" s="602"/>
      <c r="H751" s="164" t="s">
        <v>46</v>
      </c>
      <c r="I751" s="43"/>
      <c r="J751" s="43"/>
      <c r="K751" s="44"/>
      <c r="L751" s="44"/>
      <c r="M751" s="44"/>
      <c r="N751" s="44"/>
      <c r="O751" s="44"/>
      <c r="P751" s="44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20.25" hidden="1" customHeight="1">
      <c r="A752" s="648"/>
      <c r="B752" s="604"/>
      <c r="C752" s="599"/>
      <c r="D752" s="599"/>
      <c r="E752" s="599"/>
      <c r="F752" s="599"/>
      <c r="G752" s="602"/>
      <c r="H752" s="164" t="s">
        <v>314</v>
      </c>
      <c r="I752" s="43"/>
      <c r="J752" s="43"/>
      <c r="K752" s="44"/>
      <c r="L752" s="44"/>
      <c r="M752" s="44"/>
      <c r="N752" s="44"/>
      <c r="O752" s="44"/>
      <c r="P752" s="44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20.25" hidden="1" customHeight="1">
      <c r="A753" s="784">
        <v>10</v>
      </c>
      <c r="B753" s="785" t="s">
        <v>315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20.25" hidden="1" customHeight="1">
      <c r="A754" s="598"/>
      <c r="B754" s="599"/>
      <c r="C754" s="599" t="s">
        <v>16</v>
      </c>
      <c r="D754" s="892" t="s">
        <v>17</v>
      </c>
      <c r="E754" s="888"/>
      <c r="F754" s="888"/>
      <c r="G754" s="602"/>
      <c r="H754" s="645" t="s">
        <v>12</v>
      </c>
      <c r="I754" s="43"/>
      <c r="J754" s="43"/>
      <c r="K754" s="44"/>
      <c r="L754" s="646">
        <f t="shared" ref="L754:N754" si="342">L755+L756</f>
        <v>0</v>
      </c>
      <c r="M754" s="646">
        <f t="shared" si="342"/>
        <v>0</v>
      </c>
      <c r="N754" s="646">
        <f t="shared" si="342"/>
        <v>0</v>
      </c>
      <c r="O754" s="646">
        <f t="shared" ref="O754:O759" si="343">IF(L754&gt;0,N754*100/L754,0)</f>
        <v>0</v>
      </c>
      <c r="P754" s="646">
        <f t="shared" ref="P754:P759" si="34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20.25" hidden="1" customHeight="1">
      <c r="A755" s="598"/>
      <c r="B755" s="599"/>
      <c r="C755" s="599"/>
      <c r="D755" s="600"/>
      <c r="E755" s="601" t="s">
        <v>184</v>
      </c>
      <c r="F755" s="599"/>
      <c r="G755" s="602"/>
      <c r="H755" s="164" t="s">
        <v>12</v>
      </c>
      <c r="I755" s="43"/>
      <c r="J755" s="43"/>
      <c r="K755" s="44"/>
      <c r="L755" s="44">
        <f t="shared" ref="L755:N755" si="345">L758+L765</f>
        <v>0</v>
      </c>
      <c r="M755" s="44">
        <f t="shared" si="345"/>
        <v>0</v>
      </c>
      <c r="N755" s="44">
        <f t="shared" si="345"/>
        <v>0</v>
      </c>
      <c r="O755" s="44">
        <f t="shared" si="343"/>
        <v>0</v>
      </c>
      <c r="P755" s="44">
        <f t="shared" si="34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20.25" hidden="1" customHeight="1">
      <c r="A756" s="598"/>
      <c r="B756" s="604"/>
      <c r="C756" s="599"/>
      <c r="D756" s="600"/>
      <c r="E756" s="601" t="s">
        <v>185</v>
      </c>
      <c r="F756" s="599"/>
      <c r="G756" s="602"/>
      <c r="H756" s="164" t="s">
        <v>12</v>
      </c>
      <c r="I756" s="43"/>
      <c r="J756" s="43"/>
      <c r="K756" s="44"/>
      <c r="L756" s="44">
        <f t="shared" ref="L756:N756" si="346">L759+L766</f>
        <v>0</v>
      </c>
      <c r="M756" s="44">
        <f t="shared" si="346"/>
        <v>0</v>
      </c>
      <c r="N756" s="44">
        <f t="shared" si="346"/>
        <v>0</v>
      </c>
      <c r="O756" s="44">
        <f t="shared" si="343"/>
        <v>0</v>
      </c>
      <c r="P756" s="44">
        <f t="shared" si="34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20.25" hidden="1" customHeight="1">
      <c r="A757" s="598"/>
      <c r="B757" s="604"/>
      <c r="C757" s="599"/>
      <c r="D757" s="781" t="s">
        <v>20</v>
      </c>
      <c r="E757" s="599"/>
      <c r="F757" s="599"/>
      <c r="G757" s="602"/>
      <c r="H757" s="645" t="s">
        <v>12</v>
      </c>
      <c r="I757" s="165"/>
      <c r="J757" s="165"/>
      <c r="K757" s="166"/>
      <c r="L757" s="646">
        <f t="shared" ref="L757:N757" si="347">L758+L759</f>
        <v>0</v>
      </c>
      <c r="M757" s="646">
        <f t="shared" si="347"/>
        <v>0</v>
      </c>
      <c r="N757" s="646">
        <f t="shared" si="347"/>
        <v>0</v>
      </c>
      <c r="O757" s="646">
        <f t="shared" si="343"/>
        <v>0</v>
      </c>
      <c r="P757" s="646">
        <f t="shared" si="34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20.25" hidden="1" customHeight="1">
      <c r="A758" s="598"/>
      <c r="B758" s="604"/>
      <c r="C758" s="599"/>
      <c r="D758" s="600"/>
      <c r="E758" s="601" t="s">
        <v>184</v>
      </c>
      <c r="F758" s="599"/>
      <c r="G758" s="602"/>
      <c r="H758" s="164" t="s">
        <v>12</v>
      </c>
      <c r="I758" s="43"/>
      <c r="J758" s="43"/>
      <c r="K758" s="44"/>
      <c r="L758" s="92">
        <v>0</v>
      </c>
      <c r="M758" s="92">
        <v>0</v>
      </c>
      <c r="N758" s="92">
        <v>0</v>
      </c>
      <c r="O758" s="44">
        <f t="shared" si="343"/>
        <v>0</v>
      </c>
      <c r="P758" s="44">
        <f t="shared" si="34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20.25" hidden="1" customHeight="1">
      <c r="A759" s="598"/>
      <c r="B759" s="604"/>
      <c r="C759" s="599"/>
      <c r="D759" s="600"/>
      <c r="E759" s="601" t="s">
        <v>185</v>
      </c>
      <c r="F759" s="599"/>
      <c r="G759" s="602"/>
      <c r="H759" s="164" t="s">
        <v>12</v>
      </c>
      <c r="I759" s="43"/>
      <c r="J759" s="43"/>
      <c r="K759" s="44"/>
      <c r="L759" s="92">
        <v>0</v>
      </c>
      <c r="M759" s="92">
        <v>0</v>
      </c>
      <c r="N759" s="44">
        <f>N760+N761+N762+N763</f>
        <v>0</v>
      </c>
      <c r="O759" s="44">
        <f t="shared" si="343"/>
        <v>0</v>
      </c>
      <c r="P759" s="44">
        <f t="shared" si="34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20.25" hidden="1" customHeight="1">
      <c r="A760" s="648"/>
      <c r="B760" s="604"/>
      <c r="C760" s="599"/>
      <c r="D760" s="599"/>
      <c r="E760" s="599"/>
      <c r="F760" s="601" t="s">
        <v>186</v>
      </c>
      <c r="G760" s="602"/>
      <c r="H760" s="164" t="s">
        <v>12</v>
      </c>
      <c r="I760" s="43"/>
      <c r="J760" s="43"/>
      <c r="K760" s="44"/>
      <c r="L760" s="92"/>
      <c r="M760" s="44"/>
      <c r="N760" s="44"/>
      <c r="O760" s="44"/>
      <c r="P760" s="44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20.25" hidden="1" customHeight="1">
      <c r="A761" s="648"/>
      <c r="B761" s="604"/>
      <c r="C761" s="599"/>
      <c r="D761" s="599"/>
      <c r="E761" s="599"/>
      <c r="F761" s="601" t="s">
        <v>187</v>
      </c>
      <c r="G761" s="602"/>
      <c r="H761" s="164" t="s">
        <v>12</v>
      </c>
      <c r="I761" s="43"/>
      <c r="J761" s="43"/>
      <c r="K761" s="44"/>
      <c r="L761" s="44"/>
      <c r="M761" s="44"/>
      <c r="N761" s="44"/>
      <c r="O761" s="44"/>
      <c r="P761" s="44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20.25" hidden="1" customHeight="1">
      <c r="A762" s="648"/>
      <c r="B762" s="604"/>
      <c r="C762" s="599"/>
      <c r="D762" s="599"/>
      <c r="E762" s="599"/>
      <c r="F762" s="601" t="s">
        <v>188</v>
      </c>
      <c r="G762" s="602"/>
      <c r="H762" s="164" t="s">
        <v>12</v>
      </c>
      <c r="I762" s="43"/>
      <c r="J762" s="43"/>
      <c r="K762" s="44"/>
      <c r="L762" s="44"/>
      <c r="M762" s="44"/>
      <c r="N762" s="44"/>
      <c r="O762" s="44"/>
      <c r="P762" s="44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20.25" hidden="1" customHeight="1">
      <c r="A763" s="648"/>
      <c r="B763" s="604"/>
      <c r="C763" s="599"/>
      <c r="D763" s="599"/>
      <c r="E763" s="599"/>
      <c r="F763" s="601" t="s">
        <v>189</v>
      </c>
      <c r="G763" s="602"/>
      <c r="H763" s="164" t="s">
        <v>12</v>
      </c>
      <c r="I763" s="43"/>
      <c r="J763" s="43"/>
      <c r="K763" s="44"/>
      <c r="L763" s="44"/>
      <c r="M763" s="44"/>
      <c r="N763" s="44"/>
      <c r="O763" s="44"/>
      <c r="P763" s="44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20.25" hidden="1" customHeight="1">
      <c r="A764" s="598"/>
      <c r="B764" s="604"/>
      <c r="C764" s="599"/>
      <c r="D764" s="781" t="s">
        <v>21</v>
      </c>
      <c r="E764" s="599"/>
      <c r="F764" s="599"/>
      <c r="G764" s="602"/>
      <c r="H764" s="782" t="s">
        <v>12</v>
      </c>
      <c r="I764" s="165"/>
      <c r="J764" s="165"/>
      <c r="K764" s="166"/>
      <c r="L764" s="646">
        <f t="shared" ref="L764:N764" si="348">L765+L766</f>
        <v>0</v>
      </c>
      <c r="M764" s="646">
        <f t="shared" si="348"/>
        <v>0</v>
      </c>
      <c r="N764" s="646">
        <f t="shared" si="348"/>
        <v>0</v>
      </c>
      <c r="O764" s="646">
        <f t="shared" ref="O764:O766" si="349">IF(L764&gt;0,N764*100/L764,0)</f>
        <v>0</v>
      </c>
      <c r="P764" s="646">
        <f t="shared" ref="P764:P766" si="350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20.25" hidden="1" customHeight="1">
      <c r="A765" s="598"/>
      <c r="B765" s="604"/>
      <c r="C765" s="599"/>
      <c r="D765" s="599"/>
      <c r="E765" s="601" t="s">
        <v>18</v>
      </c>
      <c r="F765" s="599"/>
      <c r="G765" s="602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44">
        <f t="shared" si="349"/>
        <v>0</v>
      </c>
      <c r="P765" s="44">
        <f t="shared" si="350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20.25" hidden="1" customHeight="1">
      <c r="A766" s="598"/>
      <c r="B766" s="604"/>
      <c r="C766" s="599"/>
      <c r="D766" s="599"/>
      <c r="E766" s="601" t="s">
        <v>19</v>
      </c>
      <c r="F766" s="599"/>
      <c r="G766" s="602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44">
        <f t="shared" si="349"/>
        <v>0</v>
      </c>
      <c r="P766" s="44">
        <f t="shared" si="350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20.25" hidden="1" customHeight="1">
      <c r="A767" s="613"/>
      <c r="B767" s="614"/>
      <c r="C767" s="599" t="s">
        <v>16</v>
      </c>
      <c r="D767" s="783" t="s">
        <v>38</v>
      </c>
      <c r="E767" s="650"/>
      <c r="F767" s="650"/>
      <c r="G767" s="651"/>
      <c r="H767" s="365"/>
      <c r="I767" s="165"/>
      <c r="J767" s="165"/>
      <c r="K767" s="166"/>
      <c r="L767" s="166"/>
      <c r="M767" s="166"/>
      <c r="N767" s="166"/>
      <c r="O767" s="166"/>
      <c r="P767" s="166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20.25" hidden="1" customHeight="1">
      <c r="A768" s="648"/>
      <c r="B768" s="604"/>
      <c r="C768" s="599"/>
      <c r="D768" s="599"/>
      <c r="E768" s="601" t="s">
        <v>316</v>
      </c>
      <c r="F768" s="599"/>
      <c r="G768" s="602"/>
      <c r="H768" s="164" t="s">
        <v>46</v>
      </c>
      <c r="I768" s="43"/>
      <c r="J768" s="43"/>
      <c r="K768" s="44"/>
      <c r="L768" s="44"/>
      <c r="M768" s="44"/>
      <c r="N768" s="44"/>
      <c r="O768" s="44"/>
      <c r="P768" s="44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20.25" hidden="1" customHeight="1">
      <c r="A769" s="792">
        <v>11</v>
      </c>
      <c r="B769" s="793" t="s">
        <v>317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20.25" hidden="1" customHeight="1">
      <c r="A770" s="598"/>
      <c r="B770" s="599"/>
      <c r="C770" s="599" t="s">
        <v>16</v>
      </c>
      <c r="D770" s="892" t="s">
        <v>17</v>
      </c>
      <c r="E770" s="888"/>
      <c r="F770" s="888"/>
      <c r="G770" s="602"/>
      <c r="H770" s="645" t="s">
        <v>12</v>
      </c>
      <c r="I770" s="43"/>
      <c r="J770" s="43"/>
      <c r="K770" s="44"/>
      <c r="L770" s="646">
        <f t="shared" ref="L770:N770" si="351">L771+L772</f>
        <v>0</v>
      </c>
      <c r="M770" s="646">
        <f t="shared" si="351"/>
        <v>0</v>
      </c>
      <c r="N770" s="646">
        <f t="shared" si="351"/>
        <v>0</v>
      </c>
      <c r="O770" s="646">
        <f t="shared" ref="O770:O775" si="352">IF(L770&gt;0,N770*100/L770,0)</f>
        <v>0</v>
      </c>
      <c r="P770" s="646">
        <f t="shared" ref="P770:P775" si="353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20.25" hidden="1" customHeight="1">
      <c r="A771" s="598"/>
      <c r="B771" s="599"/>
      <c r="C771" s="599"/>
      <c r="D771" s="600"/>
      <c r="E771" s="601" t="s">
        <v>184</v>
      </c>
      <c r="F771" s="599"/>
      <c r="G771" s="602"/>
      <c r="H771" s="164" t="s">
        <v>12</v>
      </c>
      <c r="I771" s="43"/>
      <c r="J771" s="43"/>
      <c r="K771" s="44"/>
      <c r="L771" s="44">
        <f t="shared" ref="L771:N771" si="354">L774+L781</f>
        <v>0</v>
      </c>
      <c r="M771" s="44">
        <f t="shared" si="354"/>
        <v>0</v>
      </c>
      <c r="N771" s="44">
        <f t="shared" si="354"/>
        <v>0</v>
      </c>
      <c r="O771" s="44">
        <f t="shared" si="352"/>
        <v>0</v>
      </c>
      <c r="P771" s="44">
        <f t="shared" si="353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20.25" hidden="1" customHeight="1">
      <c r="A772" s="598"/>
      <c r="B772" s="604"/>
      <c r="C772" s="599"/>
      <c r="D772" s="600"/>
      <c r="E772" s="601" t="s">
        <v>185</v>
      </c>
      <c r="F772" s="599"/>
      <c r="G772" s="602"/>
      <c r="H772" s="164" t="s">
        <v>12</v>
      </c>
      <c r="I772" s="43"/>
      <c r="J772" s="43"/>
      <c r="K772" s="44"/>
      <c r="L772" s="44">
        <f t="shared" ref="L772:N772" si="355">L775+L782</f>
        <v>0</v>
      </c>
      <c r="M772" s="44">
        <f t="shared" si="355"/>
        <v>0</v>
      </c>
      <c r="N772" s="44">
        <f t="shared" si="355"/>
        <v>0</v>
      </c>
      <c r="O772" s="44">
        <f t="shared" si="352"/>
        <v>0</v>
      </c>
      <c r="P772" s="44">
        <f t="shared" si="353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20.25" hidden="1" customHeight="1">
      <c r="A773" s="598"/>
      <c r="B773" s="604"/>
      <c r="C773" s="599"/>
      <c r="D773" s="781" t="s">
        <v>20</v>
      </c>
      <c r="E773" s="599"/>
      <c r="F773" s="599"/>
      <c r="G773" s="602"/>
      <c r="H773" s="645" t="s">
        <v>12</v>
      </c>
      <c r="I773" s="165"/>
      <c r="J773" s="165"/>
      <c r="K773" s="166"/>
      <c r="L773" s="646">
        <f t="shared" ref="L773:N773" si="356">L774+L775</f>
        <v>0</v>
      </c>
      <c r="M773" s="646">
        <f t="shared" si="356"/>
        <v>0</v>
      </c>
      <c r="N773" s="646">
        <f t="shared" si="356"/>
        <v>0</v>
      </c>
      <c r="O773" s="646">
        <f t="shared" si="352"/>
        <v>0</v>
      </c>
      <c r="P773" s="646">
        <f t="shared" si="353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20.25" hidden="1" customHeight="1">
      <c r="A774" s="598"/>
      <c r="B774" s="604"/>
      <c r="C774" s="599"/>
      <c r="D774" s="600"/>
      <c r="E774" s="601" t="s">
        <v>184</v>
      </c>
      <c r="F774" s="599"/>
      <c r="G774" s="602"/>
      <c r="H774" s="164" t="s">
        <v>12</v>
      </c>
      <c r="I774" s="43"/>
      <c r="J774" s="43"/>
      <c r="K774" s="44"/>
      <c r="L774" s="92">
        <v>0</v>
      </c>
      <c r="M774" s="92">
        <v>0</v>
      </c>
      <c r="N774" s="92">
        <v>0</v>
      </c>
      <c r="O774" s="44">
        <f t="shared" si="352"/>
        <v>0</v>
      </c>
      <c r="P774" s="44">
        <f t="shared" si="353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20.25" hidden="1" customHeight="1">
      <c r="A775" s="598"/>
      <c r="B775" s="604"/>
      <c r="C775" s="599"/>
      <c r="D775" s="600"/>
      <c r="E775" s="601" t="s">
        <v>185</v>
      </c>
      <c r="F775" s="599"/>
      <c r="G775" s="602"/>
      <c r="H775" s="164" t="s">
        <v>12</v>
      </c>
      <c r="I775" s="43"/>
      <c r="J775" s="43"/>
      <c r="K775" s="44"/>
      <c r="L775" s="92">
        <v>0</v>
      </c>
      <c r="M775" s="92">
        <v>0</v>
      </c>
      <c r="N775" s="44">
        <f>N776+N777+N778+N779</f>
        <v>0</v>
      </c>
      <c r="O775" s="44">
        <f t="shared" si="352"/>
        <v>0</v>
      </c>
      <c r="P775" s="44">
        <f t="shared" si="353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20.25" hidden="1" customHeight="1">
      <c r="A776" s="648"/>
      <c r="B776" s="604"/>
      <c r="C776" s="599"/>
      <c r="D776" s="599"/>
      <c r="E776" s="599"/>
      <c r="F776" s="601" t="s">
        <v>186</v>
      </c>
      <c r="G776" s="602"/>
      <c r="H776" s="164" t="s">
        <v>12</v>
      </c>
      <c r="I776" s="43"/>
      <c r="J776" s="43"/>
      <c r="K776" s="44"/>
      <c r="L776" s="44"/>
      <c r="M776" s="44"/>
      <c r="N776" s="44"/>
      <c r="O776" s="44"/>
      <c r="P776" s="44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20.25" hidden="1" customHeight="1">
      <c r="A777" s="648"/>
      <c r="B777" s="604"/>
      <c r="C777" s="599"/>
      <c r="D777" s="599"/>
      <c r="E777" s="599"/>
      <c r="F777" s="601" t="s">
        <v>187</v>
      </c>
      <c r="G777" s="602"/>
      <c r="H777" s="164" t="s">
        <v>12</v>
      </c>
      <c r="I777" s="43"/>
      <c r="J777" s="43"/>
      <c r="K777" s="44"/>
      <c r="L777" s="44"/>
      <c r="M777" s="44"/>
      <c r="N777" s="44"/>
      <c r="O777" s="44"/>
      <c r="P777" s="44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20.25" hidden="1" customHeight="1">
      <c r="A778" s="648"/>
      <c r="B778" s="604"/>
      <c r="C778" s="599"/>
      <c r="D778" s="599"/>
      <c r="E778" s="599"/>
      <c r="F778" s="601" t="s">
        <v>188</v>
      </c>
      <c r="G778" s="602"/>
      <c r="H778" s="164" t="s">
        <v>12</v>
      </c>
      <c r="I778" s="43"/>
      <c r="J778" s="43"/>
      <c r="K778" s="44"/>
      <c r="L778" s="44"/>
      <c r="M778" s="44"/>
      <c r="N778" s="44"/>
      <c r="O778" s="44"/>
      <c r="P778" s="44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20.25" hidden="1" customHeight="1">
      <c r="A779" s="648"/>
      <c r="B779" s="604"/>
      <c r="C779" s="599"/>
      <c r="D779" s="599"/>
      <c r="E779" s="599"/>
      <c r="F779" s="601" t="s">
        <v>189</v>
      </c>
      <c r="G779" s="602"/>
      <c r="H779" s="164" t="s">
        <v>12</v>
      </c>
      <c r="I779" s="43"/>
      <c r="J779" s="43"/>
      <c r="K779" s="44"/>
      <c r="L779" s="44"/>
      <c r="M779" s="44"/>
      <c r="N779" s="44"/>
      <c r="O779" s="44"/>
      <c r="P779" s="44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20.25" hidden="1" customHeight="1">
      <c r="A780" s="598"/>
      <c r="B780" s="604"/>
      <c r="C780" s="599"/>
      <c r="D780" s="781" t="s">
        <v>21</v>
      </c>
      <c r="E780" s="599"/>
      <c r="F780" s="599"/>
      <c r="G780" s="602"/>
      <c r="H780" s="782" t="s">
        <v>12</v>
      </c>
      <c r="I780" s="165"/>
      <c r="J780" s="165"/>
      <c r="K780" s="166"/>
      <c r="L780" s="646">
        <f t="shared" ref="L780:N780" si="357">L781+L782</f>
        <v>0</v>
      </c>
      <c r="M780" s="646">
        <f t="shared" si="357"/>
        <v>0</v>
      </c>
      <c r="N780" s="646">
        <f t="shared" si="357"/>
        <v>0</v>
      </c>
      <c r="O780" s="646">
        <f t="shared" ref="O780:O782" si="358">IF(L780&gt;0,N780*100/L780,0)</f>
        <v>0</v>
      </c>
      <c r="P780" s="646">
        <f t="shared" ref="P780:P782" si="359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20.25" hidden="1" customHeight="1">
      <c r="A781" s="598"/>
      <c r="B781" s="604"/>
      <c r="C781" s="599"/>
      <c r="D781" s="599"/>
      <c r="E781" s="601" t="s">
        <v>18</v>
      </c>
      <c r="F781" s="599"/>
      <c r="G781" s="602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44">
        <f t="shared" si="358"/>
        <v>0</v>
      </c>
      <c r="P781" s="44">
        <f t="shared" si="359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20.25" hidden="1" customHeight="1">
      <c r="A782" s="598"/>
      <c r="B782" s="604"/>
      <c r="C782" s="599"/>
      <c r="D782" s="599"/>
      <c r="E782" s="601" t="s">
        <v>19</v>
      </c>
      <c r="F782" s="599"/>
      <c r="G782" s="602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44">
        <f t="shared" si="358"/>
        <v>0</v>
      </c>
      <c r="P782" s="44">
        <f t="shared" si="359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20.25" hidden="1" customHeight="1">
      <c r="A783" s="613"/>
      <c r="B783" s="614"/>
      <c r="C783" s="599" t="s">
        <v>16</v>
      </c>
      <c r="D783" s="783" t="s">
        <v>38</v>
      </c>
      <c r="E783" s="650"/>
      <c r="F783" s="650"/>
      <c r="G783" s="651"/>
      <c r="H783" s="800"/>
      <c r="I783" s="165"/>
      <c r="J783" s="165"/>
      <c r="K783" s="166"/>
      <c r="L783" s="166"/>
      <c r="M783" s="166"/>
      <c r="N783" s="166"/>
      <c r="O783" s="166"/>
      <c r="P783" s="166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20.25" hidden="1" customHeight="1">
      <c r="A784" s="648"/>
      <c r="B784" s="604"/>
      <c r="C784" s="599"/>
      <c r="D784" s="599"/>
      <c r="E784" s="601" t="s">
        <v>318</v>
      </c>
      <c r="F784" s="599"/>
      <c r="G784" s="602"/>
      <c r="H784" s="164" t="s">
        <v>46</v>
      </c>
      <c r="I784" s="43"/>
      <c r="J784" s="43"/>
      <c r="K784" s="44"/>
      <c r="L784" s="44"/>
      <c r="M784" s="44"/>
      <c r="N784" s="44"/>
      <c r="O784" s="44"/>
      <c r="P784" s="44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20.25" customHeight="1">
      <c r="A785" s="801">
        <v>12</v>
      </c>
      <c r="B785" s="802" t="s">
        <v>319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60">I800</f>
        <v>0</v>
      </c>
      <c r="J785" s="807">
        <f t="shared" ca="1" si="360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20.25" customHeight="1">
      <c r="A786" s="596"/>
      <c r="B786" s="574"/>
      <c r="C786" s="575" t="s">
        <v>16</v>
      </c>
      <c r="D786" s="887" t="s">
        <v>17</v>
      </c>
      <c r="E786" s="888"/>
      <c r="F786" s="888"/>
      <c r="G786" s="188"/>
      <c r="H786" s="597" t="s">
        <v>12</v>
      </c>
      <c r="I786" s="36"/>
      <c r="J786" s="36"/>
      <c r="K786" s="37"/>
      <c r="L786" s="194">
        <f t="shared" ref="L786:N786" ca="1" si="361">L787+L788</f>
        <v>0</v>
      </c>
      <c r="M786" s="194">
        <f t="shared" si="361"/>
        <v>0</v>
      </c>
      <c r="N786" s="194">
        <f t="shared" ca="1" si="361"/>
        <v>0</v>
      </c>
      <c r="O786" s="194">
        <f t="shared" ref="O786:O791" ca="1" si="362">IF(L786&gt;0,N786*100/L786,0)</f>
        <v>0</v>
      </c>
      <c r="P786" s="194">
        <f t="shared" ref="P786:P791" si="363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20.25" hidden="1" customHeight="1">
      <c r="A787" s="598"/>
      <c r="B787" s="604"/>
      <c r="C787" s="599"/>
      <c r="D787" s="600"/>
      <c r="E787" s="601" t="s">
        <v>184</v>
      </c>
      <c r="F787" s="599"/>
      <c r="G787" s="602"/>
      <c r="H787" s="164" t="s">
        <v>12</v>
      </c>
      <c r="I787" s="43"/>
      <c r="J787" s="43"/>
      <c r="K787" s="44"/>
      <c r="L787" s="44">
        <f t="shared" ref="L787:N787" si="364">L790+L797</f>
        <v>0</v>
      </c>
      <c r="M787" s="44">
        <f t="shared" si="364"/>
        <v>0</v>
      </c>
      <c r="N787" s="44">
        <f t="shared" si="364"/>
        <v>0</v>
      </c>
      <c r="O787" s="44">
        <f t="shared" si="362"/>
        <v>0</v>
      </c>
      <c r="P787" s="44">
        <f t="shared" si="363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20.25" hidden="1" customHeight="1">
      <c r="A788" s="598"/>
      <c r="B788" s="604"/>
      <c r="C788" s="604"/>
      <c r="D788" s="614"/>
      <c r="E788" s="601" t="s">
        <v>185</v>
      </c>
      <c r="F788" s="599"/>
      <c r="G788" s="602"/>
      <c r="H788" s="164" t="s">
        <v>12</v>
      </c>
      <c r="I788" s="43"/>
      <c r="J788" s="43"/>
      <c r="K788" s="44"/>
      <c r="L788" s="44">
        <f t="shared" ref="L788:N788" ca="1" si="365">L791+L798</f>
        <v>0</v>
      </c>
      <c r="M788" s="44">
        <f t="shared" si="365"/>
        <v>0</v>
      </c>
      <c r="N788" s="44">
        <f t="shared" ca="1" si="365"/>
        <v>0</v>
      </c>
      <c r="O788" s="44">
        <f t="shared" ca="1" si="362"/>
        <v>0</v>
      </c>
      <c r="P788" s="44">
        <f t="shared" si="363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20.25" customHeight="1">
      <c r="A789" s="596"/>
      <c r="B789" s="574"/>
      <c r="C789" s="574"/>
      <c r="D789" s="605" t="s">
        <v>20</v>
      </c>
      <c r="E789" s="575"/>
      <c r="F789" s="575"/>
      <c r="G789" s="188"/>
      <c r="H789" s="160" t="s">
        <v>12</v>
      </c>
      <c r="I789" s="161"/>
      <c r="J789" s="161"/>
      <c r="K789" s="162"/>
      <c r="L789" s="37">
        <f t="shared" ref="L789:N789" ca="1" si="366">L790+L791</f>
        <v>0</v>
      </c>
      <c r="M789" s="37">
        <f t="shared" si="366"/>
        <v>0</v>
      </c>
      <c r="N789" s="37">
        <f t="shared" ca="1" si="366"/>
        <v>0</v>
      </c>
      <c r="O789" s="37">
        <f t="shared" ca="1" si="362"/>
        <v>0</v>
      </c>
      <c r="P789" s="37">
        <f t="shared" si="363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20.25" hidden="1" customHeight="1">
      <c r="A790" s="598"/>
      <c r="B790" s="604"/>
      <c r="C790" s="604"/>
      <c r="D790" s="614"/>
      <c r="E790" s="601" t="s">
        <v>184</v>
      </c>
      <c r="F790" s="599"/>
      <c r="G790" s="602"/>
      <c r="H790" s="164" t="s">
        <v>12</v>
      </c>
      <c r="I790" s="43"/>
      <c r="J790" s="43"/>
      <c r="K790" s="44"/>
      <c r="L790" s="92">
        <v>0</v>
      </c>
      <c r="M790" s="92">
        <v>0</v>
      </c>
      <c r="N790" s="92">
        <v>0</v>
      </c>
      <c r="O790" s="44">
        <f t="shared" si="362"/>
        <v>0</v>
      </c>
      <c r="P790" s="44">
        <f t="shared" si="363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20.25" hidden="1" customHeight="1">
      <c r="A791" s="598"/>
      <c r="B791" s="604"/>
      <c r="C791" s="604"/>
      <c r="D791" s="614"/>
      <c r="E791" s="601" t="s">
        <v>185</v>
      </c>
      <c r="F791" s="599"/>
      <c r="G791" s="602"/>
      <c r="H791" s="164" t="s">
        <v>12</v>
      </c>
      <c r="I791" s="43"/>
      <c r="J791" s="43"/>
      <c r="K791" s="44"/>
      <c r="L791" s="44">
        <f ca="1">IFERROR(__xludf.DUMMYFUNCTION("IMPORTRANGE(""https://docs.google.com/spreadsheets/d/1kC41EOXpGBFOW658Fs3oD8beYlym0-zO54WY-2Qnp9I/edit?usp=share_link"",""กระบี่!L791"")
+IMPORTRANGE(""https://docs.google.com/spreadsheets/d/1FbzMZY_f3MDiEuK7RpCQKrilJ_kpX0Wm7QBZ1L7EjIU/edit?usp=share_link"&amp;""",""ชุมพร!L791"")+IMPORTRANGE(""https://docs.google.com/spreadsheets/d/1v5sN-00LrXuhBxw4dkh2GrG_z4l5oAqOdJRBCsUyMaM/edit?usp=share_link"",""ตรัง!L791"")+IMPORTRANGE(""https://docs.google.com/spreadsheets/d/1T5rRTzFc79aSIvqnzkZNvwPstq829QYz_xALlO1Z0s8/edi"&amp;"t?usp=share_link"",""นครศรีธรรมราช!L791"")+IMPORTRANGE(""https://docs.google.com/spreadsheets/d/1BeghqumK0IvCmRd2QOy6_afsZq7ZtAGrSnVJy2u7WmY/edit?usp=share_link"",""นราธิวาส!L791"")+IMPORTRANGE(""https://docs.google.com/spreadsheets/d/1IwnW3-jjRf74MCLW-6P"&amp;"iFwMUffRQXZwZA7YM609NmRc/edit?usp=share_link"",""ปัตตานี!L791"")+IMPORTRANGE(""https://docs.google.com/spreadsheets/d/1vl4QWbWdFruual5o_wdo6ZSqXZ_it806oja4CctTLKs/edit?usp=share_link"",""พังงา!L791"")+IMPORTRANGE(""https://docs.google.com/spreadsheets/d/1"&amp;"b6QssHQp2FoAPSMKHOy273KNzAomaIKhtdlvuZ_zDNE/edit?usp=share_link"",""พัทลุง!L791"")+IMPORTRANGE(""https://docs.google.com/spreadsheets/d/1o7UZe4_OqlqtLDHrj01Z2YFRSZDf1DMy1n3XViHaxRc/edit?usp=share_link"",""ภูเก็ต!L791"")+IMPORTRANGE(""https://docs.google.c"&amp;"om/spreadsheets/d/1ctPm1vUzcUCPuOj9-eoHUD85PqINFqUB0TjdSWmR5-c/edit?usp=share_link"",""ยะลา!L791"")+IMPORTRANGE(""https://docs.google.com/spreadsheets/d/1YiDIE7Klmt8osgdapRqYWNr7iPGFSsiJqq46S7PYRE0/edit?usp=share_link"",""ระนอง!L791"")+IMPORTRANGE(""https"&amp;"://docs.google.com/spreadsheets/d/16o_4B-V7AWw_6E93bSpXj_XxVv1oVQctk-B6z1dNEWU/edit?usp=share_link"",""สงขลา!L791"")+IMPORTRANGE(""https://docs.google.com/spreadsheets/d/16cywr71Fj4fA5OGRHsZh30ZG2gwJhMAQv69oVBzYHv0/edit?usp=share_link"",""สตูล!L791"")+IMP"&amp;"ORTRANGE(""https://docs.google.com/spreadsheets/d/1vO9Sws6kMtrVtyvrAJptINXjK8TFBoX9xLYOVK_C8bQ/edit?usp=share_link"",""สุราษฎร์ธานี!L791"")"),0)</f>
        <v>0</v>
      </c>
      <c r="M791" s="92">
        <v>0</v>
      </c>
      <c r="N791" s="44">
        <f ca="1">N792+N793+N794+N795</f>
        <v>0</v>
      </c>
      <c r="O791" s="44">
        <f t="shared" ca="1" si="362"/>
        <v>0</v>
      </c>
      <c r="P791" s="44">
        <f t="shared" si="363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20.25" customHeight="1">
      <c r="A792" s="573"/>
      <c r="B792" s="574"/>
      <c r="C792" s="575"/>
      <c r="D792" s="575"/>
      <c r="E792" s="575"/>
      <c r="F792" s="576" t="s">
        <v>186</v>
      </c>
      <c r="G792" s="188"/>
      <c r="H792" s="160" t="s">
        <v>12</v>
      </c>
      <c r="I792" s="36"/>
      <c r="J792" s="36"/>
      <c r="K792" s="37"/>
      <c r="L792" s="37"/>
      <c r="M792" s="37"/>
      <c r="N792" s="282">
        <f ca="1">IFERROR(__xludf.DUMMYFUNCTION("IMPORTRANGE(""https://docs.google.com/spreadsheets/d/1kC41EOXpGBFOW658Fs3oD8beYlym0-zO54WY-2Qnp9I/edit?usp=share_link"",""กระบี่!N792"")
+IMPORTRANGE(""https://docs.google.com/spreadsheets/d/1FbzMZY_f3MDiEuK7RpCQKrilJ_kpX0Wm7QBZ1L7EjIU/edit?usp=share_link"&amp;""",""ชุมพร!N792"")+IMPORTRANGE(""https://docs.google.com/spreadsheets/d/1v5sN-00LrXuhBxw4dkh2GrG_z4l5oAqOdJRBCsUyMaM/edit?usp=share_link"",""ตรัง!N792"")+IMPORTRANGE(""https://docs.google.com/spreadsheets/d/1T5rRTzFc79aSIvqnzkZNvwPstq829QYz_xALlO1Z0s8/edi"&amp;"t?usp=share_link"",""นครศรีธรรมราช!N792"")+IMPORTRANGE(""https://docs.google.com/spreadsheets/d/1BeghqumK0IvCmRd2QOy6_afsZq7ZtAGrSnVJy2u7WmY/edit?usp=share_link"",""นราธิวาส!N792"")+IMPORTRANGE(""https://docs.google.com/spreadsheets/d/1IwnW3-jjRf74MCLW-6P"&amp;"iFwMUffRQXZwZA7YM609NmRc/edit?usp=share_link"",""ปัตตานี!N792"")+IMPORTRANGE(""https://docs.google.com/spreadsheets/d/1vl4QWbWdFruual5o_wdo6ZSqXZ_it806oja4CctTLKs/edit?usp=share_link"",""พังงา!N792"")+IMPORTRANGE(""https://docs.google.com/spreadsheets/d/1"&amp;"b6QssHQp2FoAPSMKHOy273KNzAomaIKhtdlvuZ_zDNE/edit?usp=share_link"",""พัทลุง!N792"")+IMPORTRANGE(""https://docs.google.com/spreadsheets/d/1o7UZe4_OqlqtLDHrj01Z2YFRSZDf1DMy1n3XViHaxRc/edit?usp=share_link"",""ภูเก็ต!N792"")+IMPORTRANGE(""https://docs.google.c"&amp;"om/spreadsheets/d/1ctPm1vUzcUCPuOj9-eoHUD85PqINFqUB0TjdSWmR5-c/edit?usp=share_link"",""ยะลา!N792"")+IMPORTRANGE(""https://docs.google.com/spreadsheets/d/1YiDIE7Klmt8osgdapRqYWNr7iPGFSsiJqq46S7PYRE0/edit?usp=share_link"",""ระนอง!N792"")+IMPORTRANGE(""https"&amp;"://docs.google.com/spreadsheets/d/16o_4B-V7AWw_6E93bSpXj_XxVv1oVQctk-B6z1dNEWU/edit?usp=share_link"",""สงขลา!N792"")+IMPORTRANGE(""https://docs.google.com/spreadsheets/d/16cywr71Fj4fA5OGRHsZh30ZG2gwJhMAQv69oVBzYHv0/edit?usp=share_link"",""สตูล!N792"")+IMP"&amp;"ORTRANGE(""https://docs.google.com/spreadsheets/d/1vO9Sws6kMtrVtyvrAJptINXjK8TFBoX9xLYOVK_C8bQ/edit?usp=share_link"",""สุราษฎร์ธานี!N792"")"),0)</f>
        <v>0</v>
      </c>
      <c r="O792" s="37"/>
      <c r="P792" s="37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20.25" customHeight="1">
      <c r="A793" s="573"/>
      <c r="B793" s="574"/>
      <c r="C793" s="575"/>
      <c r="D793" s="575"/>
      <c r="E793" s="575"/>
      <c r="F793" s="576" t="s">
        <v>187</v>
      </c>
      <c r="G793" s="188"/>
      <c r="H793" s="160" t="s">
        <v>12</v>
      </c>
      <c r="I793" s="36"/>
      <c r="J793" s="36"/>
      <c r="K793" s="37"/>
      <c r="L793" s="37"/>
      <c r="M793" s="37"/>
      <c r="N793" s="282">
        <f ca="1">IFERROR(__xludf.DUMMYFUNCTION("IMPORTRANGE(""https://docs.google.com/spreadsheets/d/1kC41EOXpGBFOW658Fs3oD8beYlym0-zO54WY-2Qnp9I/edit?usp=share_link"",""กระบี่!N793"")
+IMPORTRANGE(""https://docs.google.com/spreadsheets/d/1FbzMZY_f3MDiEuK7RpCQKrilJ_kpX0Wm7QBZ1L7EjIU/edit?usp=share_link"&amp;""",""ชุมพร!N793"")+IMPORTRANGE(""https://docs.google.com/spreadsheets/d/1v5sN-00LrXuhBxw4dkh2GrG_z4l5oAqOdJRBCsUyMaM/edit?usp=share_link"",""ตรัง!N793"")+IMPORTRANGE(""https://docs.google.com/spreadsheets/d/1T5rRTzFc79aSIvqnzkZNvwPstq829QYz_xALlO1Z0s8/edi"&amp;"t?usp=share_link"",""นครศรีธรรมราช!N793"")+IMPORTRANGE(""https://docs.google.com/spreadsheets/d/1BeghqumK0IvCmRd2QOy6_afsZq7ZtAGrSnVJy2u7WmY/edit?usp=share_link"",""นราธิวาส!N793"")+IMPORTRANGE(""https://docs.google.com/spreadsheets/d/1IwnW3-jjRf74MCLW-6P"&amp;"iFwMUffRQXZwZA7YM609NmRc/edit?usp=share_link"",""ปัตตานี!N793"")+IMPORTRANGE(""https://docs.google.com/spreadsheets/d/1vl4QWbWdFruual5o_wdo6ZSqXZ_it806oja4CctTLKs/edit?usp=share_link"",""พังงา!N793"")+IMPORTRANGE(""https://docs.google.com/spreadsheets/d/1"&amp;"b6QssHQp2FoAPSMKHOy273KNzAomaIKhtdlvuZ_zDNE/edit?usp=share_link"",""พัทลุง!N793"")+IMPORTRANGE(""https://docs.google.com/spreadsheets/d/1o7UZe4_OqlqtLDHrj01Z2YFRSZDf1DMy1n3XViHaxRc/edit?usp=share_link"",""ภูเก็ต!N793"")+IMPORTRANGE(""https://docs.google.c"&amp;"om/spreadsheets/d/1ctPm1vUzcUCPuOj9-eoHUD85PqINFqUB0TjdSWmR5-c/edit?usp=share_link"",""ยะลา!N793"")+IMPORTRANGE(""https://docs.google.com/spreadsheets/d/1YiDIE7Klmt8osgdapRqYWNr7iPGFSsiJqq46S7PYRE0/edit?usp=share_link"",""ระนอง!N793"")+IMPORTRANGE(""https"&amp;"://docs.google.com/spreadsheets/d/16o_4B-V7AWw_6E93bSpXj_XxVv1oVQctk-B6z1dNEWU/edit?usp=share_link"",""สงขลา!N793"")+IMPORTRANGE(""https://docs.google.com/spreadsheets/d/16cywr71Fj4fA5OGRHsZh30ZG2gwJhMAQv69oVBzYHv0/edit?usp=share_link"",""สตูล!N793"")+IMP"&amp;"ORTRANGE(""https://docs.google.com/spreadsheets/d/1vO9Sws6kMtrVtyvrAJptINXjK8TFBoX9xLYOVK_C8bQ/edit?usp=share_link"",""สุราษฎร์ธานี!N793"")"),0)</f>
        <v>0</v>
      </c>
      <c r="O793" s="37"/>
      <c r="P793" s="37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20.25" customHeight="1">
      <c r="A794" s="573"/>
      <c r="B794" s="574"/>
      <c r="C794" s="575"/>
      <c r="D794" s="575"/>
      <c r="E794" s="575"/>
      <c r="F794" s="576" t="s">
        <v>188</v>
      </c>
      <c r="G794" s="188"/>
      <c r="H794" s="160" t="s">
        <v>12</v>
      </c>
      <c r="I794" s="36"/>
      <c r="J794" s="36"/>
      <c r="K794" s="37"/>
      <c r="L794" s="37"/>
      <c r="M794" s="37"/>
      <c r="N794" s="282">
        <f ca="1">IFERROR(__xludf.DUMMYFUNCTION("IMPORTRANGE(""https://docs.google.com/spreadsheets/d/1kC41EOXpGBFOW658Fs3oD8beYlym0-zO54WY-2Qnp9I/edit?usp=share_link"",""กระบี่!N794"")
+IMPORTRANGE(""https://docs.google.com/spreadsheets/d/1FbzMZY_f3MDiEuK7RpCQKrilJ_kpX0Wm7QBZ1L7EjIU/edit?usp=share_link"&amp;""",""ชุมพร!N794"")+IMPORTRANGE(""https://docs.google.com/spreadsheets/d/1v5sN-00LrXuhBxw4dkh2GrG_z4l5oAqOdJRBCsUyMaM/edit?usp=share_link"",""ตรัง!N794"")+IMPORTRANGE(""https://docs.google.com/spreadsheets/d/1T5rRTzFc79aSIvqnzkZNvwPstq829QYz_xALlO1Z0s8/edi"&amp;"t?usp=share_link"",""นครศรีธรรมราช!N794"")+IMPORTRANGE(""https://docs.google.com/spreadsheets/d/1BeghqumK0IvCmRd2QOy6_afsZq7ZtAGrSnVJy2u7WmY/edit?usp=share_link"",""นราธิวาส!N794"")+IMPORTRANGE(""https://docs.google.com/spreadsheets/d/1IwnW3-jjRf74MCLW-6P"&amp;"iFwMUffRQXZwZA7YM609NmRc/edit?usp=share_link"",""ปัตตานี!N794"")+IMPORTRANGE(""https://docs.google.com/spreadsheets/d/1vl4QWbWdFruual5o_wdo6ZSqXZ_it806oja4CctTLKs/edit?usp=share_link"",""พังงา!N794"")+IMPORTRANGE(""https://docs.google.com/spreadsheets/d/1"&amp;"b6QssHQp2FoAPSMKHOy273KNzAomaIKhtdlvuZ_zDNE/edit?usp=share_link"",""พัทลุง!N794"")+IMPORTRANGE(""https://docs.google.com/spreadsheets/d/1o7UZe4_OqlqtLDHrj01Z2YFRSZDf1DMy1n3XViHaxRc/edit?usp=share_link"",""ภูเก็ต!N794"")+IMPORTRANGE(""https://docs.google.c"&amp;"om/spreadsheets/d/1ctPm1vUzcUCPuOj9-eoHUD85PqINFqUB0TjdSWmR5-c/edit?usp=share_link"",""ยะลา!N794"")+IMPORTRANGE(""https://docs.google.com/spreadsheets/d/1YiDIE7Klmt8osgdapRqYWNr7iPGFSsiJqq46S7PYRE0/edit?usp=share_link"",""ระนอง!N794"")+IMPORTRANGE(""https"&amp;"://docs.google.com/spreadsheets/d/16o_4B-V7AWw_6E93bSpXj_XxVv1oVQctk-B6z1dNEWU/edit?usp=share_link"",""สงขลา!N794"")+IMPORTRANGE(""https://docs.google.com/spreadsheets/d/16cywr71Fj4fA5OGRHsZh30ZG2gwJhMAQv69oVBzYHv0/edit?usp=share_link"",""สตูล!N794"")+IMP"&amp;"ORTRANGE(""https://docs.google.com/spreadsheets/d/1vO9Sws6kMtrVtyvrAJptINXjK8TFBoX9xLYOVK_C8bQ/edit?usp=share_link"",""สุราษฎร์ธานี!N794"")"),0)</f>
        <v>0</v>
      </c>
      <c r="O794" s="37"/>
      <c r="P794" s="37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20.25" customHeight="1">
      <c r="A795" s="573"/>
      <c r="B795" s="574"/>
      <c r="C795" s="575"/>
      <c r="D795" s="575"/>
      <c r="E795" s="575"/>
      <c r="F795" s="576" t="s">
        <v>189</v>
      </c>
      <c r="G795" s="188"/>
      <c r="H795" s="160" t="s">
        <v>12</v>
      </c>
      <c r="I795" s="36"/>
      <c r="J795" s="36"/>
      <c r="K795" s="37"/>
      <c r="L795" s="37"/>
      <c r="M795" s="37"/>
      <c r="N795" s="282">
        <f ca="1">IFERROR(__xludf.DUMMYFUNCTION("IMPORTRANGE(""https://docs.google.com/spreadsheets/d/1kC41EOXpGBFOW658Fs3oD8beYlym0-zO54WY-2Qnp9I/edit?usp=share_link"",""กระบี่!N795"")
+IMPORTRANGE(""https://docs.google.com/spreadsheets/d/1FbzMZY_f3MDiEuK7RpCQKrilJ_kpX0Wm7QBZ1L7EjIU/edit?usp=share_link"&amp;""",""ชุมพร!N795"")+IMPORTRANGE(""https://docs.google.com/spreadsheets/d/1v5sN-00LrXuhBxw4dkh2GrG_z4l5oAqOdJRBCsUyMaM/edit?usp=share_link"",""ตรัง!N795"")+IMPORTRANGE(""https://docs.google.com/spreadsheets/d/1T5rRTzFc79aSIvqnzkZNvwPstq829QYz_xALlO1Z0s8/edi"&amp;"t?usp=share_link"",""นครศรีธรรมราช!N795"")+IMPORTRANGE(""https://docs.google.com/spreadsheets/d/1BeghqumK0IvCmRd2QOy6_afsZq7ZtAGrSnVJy2u7WmY/edit?usp=share_link"",""นราธิวาส!N795"")+IMPORTRANGE(""https://docs.google.com/spreadsheets/d/1IwnW3-jjRf74MCLW-6P"&amp;"iFwMUffRQXZwZA7YM609NmRc/edit?usp=share_link"",""ปัตตานี!N795"")+IMPORTRANGE(""https://docs.google.com/spreadsheets/d/1vl4QWbWdFruual5o_wdo6ZSqXZ_it806oja4CctTLKs/edit?usp=share_link"",""พังงา!N795"")+IMPORTRANGE(""https://docs.google.com/spreadsheets/d/1"&amp;"b6QssHQp2FoAPSMKHOy273KNzAomaIKhtdlvuZ_zDNE/edit?usp=share_link"",""พัทลุง!N795"")+IMPORTRANGE(""https://docs.google.com/spreadsheets/d/1o7UZe4_OqlqtLDHrj01Z2YFRSZDf1DMy1n3XViHaxRc/edit?usp=share_link"",""ภูเก็ต!N795"")+IMPORTRANGE(""https://docs.google.c"&amp;"om/spreadsheets/d/1ctPm1vUzcUCPuOj9-eoHUD85PqINFqUB0TjdSWmR5-c/edit?usp=share_link"",""ยะลา!N795"")+IMPORTRANGE(""https://docs.google.com/spreadsheets/d/1YiDIE7Klmt8osgdapRqYWNr7iPGFSsiJqq46S7PYRE0/edit?usp=share_link"",""ระนอง!N795"")+IMPORTRANGE(""https"&amp;"://docs.google.com/spreadsheets/d/16o_4B-V7AWw_6E93bSpXj_XxVv1oVQctk-B6z1dNEWU/edit?usp=share_link"",""สงขลา!N795"")+IMPORTRANGE(""https://docs.google.com/spreadsheets/d/16cywr71Fj4fA5OGRHsZh30ZG2gwJhMAQv69oVBzYHv0/edit?usp=share_link"",""สตูล!N795"")+IMP"&amp;"ORTRANGE(""https://docs.google.com/spreadsheets/d/1vO9Sws6kMtrVtyvrAJptINXjK8TFBoX9xLYOVK_C8bQ/edit?usp=share_link"",""สุราษฎร์ธานี!N795"")"),0)</f>
        <v>0</v>
      </c>
      <c r="O795" s="37"/>
      <c r="P795" s="37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20.25" customHeight="1">
      <c r="A796" s="596"/>
      <c r="B796" s="574"/>
      <c r="C796" s="575"/>
      <c r="D796" s="605" t="s">
        <v>21</v>
      </c>
      <c r="E796" s="575"/>
      <c r="F796" s="575"/>
      <c r="G796" s="188"/>
      <c r="H796" s="167" t="s">
        <v>12</v>
      </c>
      <c r="I796" s="161"/>
      <c r="J796" s="161"/>
      <c r="K796" s="162"/>
      <c r="L796" s="37">
        <f t="shared" ref="L796:N796" si="367">L797+L798</f>
        <v>0</v>
      </c>
      <c r="M796" s="37">
        <f t="shared" si="367"/>
        <v>0</v>
      </c>
      <c r="N796" s="37">
        <f t="shared" si="367"/>
        <v>0</v>
      </c>
      <c r="O796" s="37">
        <f t="shared" ref="O796:O798" si="368">IF(L796&gt;0,N796*100/L796,0)</f>
        <v>0</v>
      </c>
      <c r="P796" s="37">
        <f t="shared" ref="P796:P798" si="369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20.25" hidden="1" customHeight="1">
      <c r="A797" s="598"/>
      <c r="B797" s="604"/>
      <c r="C797" s="599"/>
      <c r="D797" s="599"/>
      <c r="E797" s="601" t="s">
        <v>18</v>
      </c>
      <c r="F797" s="599"/>
      <c r="G797" s="602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44">
        <f t="shared" si="368"/>
        <v>0</v>
      </c>
      <c r="P797" s="44">
        <f t="shared" si="369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20.25" hidden="1" customHeight="1">
      <c r="A798" s="598"/>
      <c r="B798" s="604"/>
      <c r="C798" s="599"/>
      <c r="D798" s="599"/>
      <c r="E798" s="601" t="s">
        <v>19</v>
      </c>
      <c r="F798" s="599"/>
      <c r="G798" s="602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44">
        <f t="shared" si="368"/>
        <v>0</v>
      </c>
      <c r="P798" s="44">
        <f t="shared" si="369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20.25" customHeight="1">
      <c r="A799" s="607"/>
      <c r="B799" s="608"/>
      <c r="C799" s="575" t="s">
        <v>16</v>
      </c>
      <c r="D799" s="759" t="s">
        <v>38</v>
      </c>
      <c r="E799" s="611"/>
      <c r="F799" s="611"/>
      <c r="G799" s="612"/>
      <c r="H799" s="810"/>
      <c r="I799" s="161"/>
      <c r="J799" s="161"/>
      <c r="K799" s="162"/>
      <c r="L799" s="162"/>
      <c r="M799" s="162"/>
      <c r="N799" s="162"/>
      <c r="O799" s="162"/>
      <c r="P799" s="162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20.25" customHeight="1">
      <c r="A800" s="607"/>
      <c r="B800" s="608"/>
      <c r="C800" s="608"/>
      <c r="D800" s="608"/>
      <c r="E800" s="618"/>
      <c r="F800" s="186" t="s">
        <v>320</v>
      </c>
      <c r="G800" s="174"/>
      <c r="H800" s="184" t="s">
        <v>46</v>
      </c>
      <c r="I800" s="161">
        <f ca="1">IFERROR(__xludf.DUMMYFUNCTION("IMPORTRANGE(""https://docs.google.com/spreadsheets/d/1kC41EOXpGBFOW658Fs3oD8beYlym0-zO54WY-2Qnp9I/edit?usp=share_link"",""กระบี่!I800"")
+IMPORTRANGE(""https://docs.google.com/spreadsheets/d/1FbzMZY_f3MDiEuK7RpCQKrilJ_kpX0Wm7QBZ1L7EjIU/edit?usp=share_link"&amp;""",""ชุมพร!I800"")+IMPORTRANGE(""https://docs.google.com/spreadsheets/d/1v5sN-00LrXuhBxw4dkh2GrG_z4l5oAqOdJRBCsUyMaM/edit?usp=share_link"",""ตรัง!I800"")+IMPORTRANGE(""https://docs.google.com/spreadsheets/d/1T5rRTzFc79aSIvqnzkZNvwPstq829QYz_xALlO1Z0s8/edi"&amp;"t?usp=share_link"",""นครศรีธรรมราช!I800"")+IMPORTRANGE(""https://docs.google.com/spreadsheets/d/1BeghqumK0IvCmRd2QOy6_afsZq7ZtAGrSnVJy2u7WmY/edit?usp=share_link"",""นราธิวาส!I800"")+IMPORTRANGE(""https://docs.google.com/spreadsheets/d/1IwnW3-jjRf74MCLW-6P"&amp;"iFwMUffRQXZwZA7YM609NmRc/edit?usp=share_link"",""ปัตตานี!I800"")+IMPORTRANGE(""https://docs.google.com/spreadsheets/d/1vl4QWbWdFruual5o_wdo6ZSqXZ_it806oja4CctTLKs/edit?usp=share_link"",""พังงา!I800"")+IMPORTRANGE(""https://docs.google.com/spreadsheets/d/1"&amp;"b6QssHQp2FoAPSMKHOy273KNzAomaIKhtdlvuZ_zDNE/edit?usp=share_link"",""พัทลุง!I800"")+IMPORTRANGE(""https://docs.google.com/spreadsheets/d/1o7UZe4_OqlqtLDHrj01Z2YFRSZDf1DMy1n3XViHaxRc/edit?usp=share_link"",""ภูเก็ต!I800"")+IMPORTRANGE(""https://docs.google.c"&amp;"om/spreadsheets/d/1ctPm1vUzcUCPuOj9-eoHUD85PqINFqUB0TjdSWmR5-c/edit?usp=share_link"",""ยะลา!I800"")+IMPORTRANGE(""https://docs.google.com/spreadsheets/d/1YiDIE7Klmt8osgdapRqYWNr7iPGFSsiJqq46S7PYRE0/edit?usp=share_link"",""ระนอง!I800"")+IMPORTRANGE(""https"&amp;"://docs.google.com/spreadsheets/d/16o_4B-V7AWw_6E93bSpXj_XxVv1oVQctk-B6z1dNEWU/edit?usp=share_link"",""สงขลา!I800"")+IMPORTRANGE(""https://docs.google.com/spreadsheets/d/16cywr71Fj4fA5OGRHsZh30ZG2gwJhMAQv69oVBzYHv0/edit?usp=share_link"",""สตูล!I800"")+IMP"&amp;"ORTRANGE(""https://docs.google.com/spreadsheets/d/1vO9Sws6kMtrVtyvrAJptINXjK8TFBoX9xLYOVK_C8bQ/edit?usp=share_link"",""สุราษฎร์ธานี!I800"")"),0)</f>
        <v>0</v>
      </c>
      <c r="J800" s="183">
        <f ca="1">IFERROR(__xludf.DUMMYFUNCTION("IMPORTRANGE(""https://docs.google.com/spreadsheets/d/1kC41EOXpGBFOW658Fs3oD8beYlym0-zO54WY-2Qnp9I/edit?usp=share_link"",""กระบี่!J800"")
+IMPORTRANGE(""https://docs.google.com/spreadsheets/d/1FbzMZY_f3MDiEuK7RpCQKrilJ_kpX0Wm7QBZ1L7EjIU/edit?usp=share_link"&amp;""",""ชุมพร!J800"")+IMPORTRANGE(""https://docs.google.com/spreadsheets/d/1v5sN-00LrXuhBxw4dkh2GrG_z4l5oAqOdJRBCsUyMaM/edit?usp=share_link"",""ตรัง!J800"")+IMPORTRANGE(""https://docs.google.com/spreadsheets/d/1T5rRTzFc79aSIvqnzkZNvwPstq829QYz_xALlO1Z0s8/edi"&amp;"t?usp=share_link"",""นครศรีธรรมราช!J800"")+IMPORTRANGE(""https://docs.google.com/spreadsheets/d/1BeghqumK0IvCmRd2QOy6_afsZq7ZtAGrSnVJy2u7WmY/edit?usp=share_link"",""นราธิวาส!J800"")+IMPORTRANGE(""https://docs.google.com/spreadsheets/d/1IwnW3-jjRf74MCLW-6P"&amp;"iFwMUffRQXZwZA7YM609NmRc/edit?usp=share_link"",""ปัตตานี!J800"")+IMPORTRANGE(""https://docs.google.com/spreadsheets/d/1vl4QWbWdFruual5o_wdo6ZSqXZ_it806oja4CctTLKs/edit?usp=share_link"",""พังงา!J800"")+IMPORTRANGE(""https://docs.google.com/spreadsheets/d/1"&amp;"b6QssHQp2FoAPSMKHOy273KNzAomaIKhtdlvuZ_zDNE/edit?usp=share_link"",""พัทลุง!J800"")+IMPORTRANGE(""https://docs.google.com/spreadsheets/d/1o7UZe4_OqlqtLDHrj01Z2YFRSZDf1DMy1n3XViHaxRc/edit?usp=share_link"",""ภูเก็ต!J800"")+IMPORTRANGE(""https://docs.google.c"&amp;"om/spreadsheets/d/1ctPm1vUzcUCPuOj9-eoHUD85PqINFqUB0TjdSWmR5-c/edit?usp=share_link"",""ยะลา!J800"")+IMPORTRANGE(""https://docs.google.com/spreadsheets/d/1YiDIE7Klmt8osgdapRqYWNr7iPGFSsiJqq46S7PYRE0/edit?usp=share_link"",""ระนอง!J800"")+IMPORTRANGE(""https"&amp;"://docs.google.com/spreadsheets/d/16o_4B-V7AWw_6E93bSpXj_XxVv1oVQctk-B6z1dNEWU/edit?usp=share_link"",""สงขลา!J800"")+IMPORTRANGE(""https://docs.google.com/spreadsheets/d/16cywr71Fj4fA5OGRHsZh30ZG2gwJhMAQv69oVBzYHv0/edit?usp=share_link"",""สตูล!J800"")+IMP"&amp;"ORTRANGE(""https://docs.google.com/spreadsheets/d/1vO9Sws6kMtrVtyvrAJptINXjK8TFBoX9xLYOVK_C8bQ/edit?usp=share_link"",""สุราษฎร์ธานี!J800"")"),0)</f>
        <v>0</v>
      </c>
      <c r="K800" s="37">
        <f ca="1">IF(I800&gt;0,J800*100/I800,0)</f>
        <v>0</v>
      </c>
      <c r="L800" s="37"/>
      <c r="M800" s="37"/>
      <c r="N800" s="37"/>
      <c r="O800" s="162"/>
      <c r="P800" s="162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20.25" customHeight="1">
      <c r="A801" s="607"/>
      <c r="B801" s="608"/>
      <c r="C801" s="608"/>
      <c r="D801" s="608"/>
      <c r="E801" s="618"/>
      <c r="F801" s="618"/>
      <c r="G801" s="174"/>
      <c r="H801" s="160" t="s">
        <v>34</v>
      </c>
      <c r="I801" s="161"/>
      <c r="J801" s="36">
        <f ca="1">IFERROR(__xludf.DUMMYFUNCTION("IMPORTRANGE(""https://docs.google.com/spreadsheets/d/1kC41EOXpGBFOW658Fs3oD8beYlym0-zO54WY-2Qnp9I/edit?usp=share_link"",""กระบี่!J801"")
+IMPORTRANGE(""https://docs.google.com/spreadsheets/d/1FbzMZY_f3MDiEuK7RpCQKrilJ_kpX0Wm7QBZ1L7EjIU/edit?usp=share_link"&amp;""",""ชุมพร!J801"")+IMPORTRANGE(""https://docs.google.com/spreadsheets/d/1v5sN-00LrXuhBxw4dkh2GrG_z4l5oAqOdJRBCsUyMaM/edit?usp=share_link"",""ตรัง!J801"")+IMPORTRANGE(""https://docs.google.com/spreadsheets/d/1T5rRTzFc79aSIvqnzkZNvwPstq829QYz_xALlO1Z0s8/edi"&amp;"t?usp=share_link"",""นครศรีธรรมราช!J801"")+IMPORTRANGE(""https://docs.google.com/spreadsheets/d/1BeghqumK0IvCmRd2QOy6_afsZq7ZtAGrSnVJy2u7WmY/edit?usp=share_link"",""นราธิวาส!J801"")+IMPORTRANGE(""https://docs.google.com/spreadsheets/d/1IwnW3-jjRf74MCLW-6P"&amp;"iFwMUffRQXZwZA7YM609NmRc/edit?usp=share_link"",""ปัตตานี!J801"")+IMPORTRANGE(""https://docs.google.com/spreadsheets/d/1vl4QWbWdFruual5o_wdo6ZSqXZ_it806oja4CctTLKs/edit?usp=share_link"",""พังงา!J801"")+IMPORTRANGE(""https://docs.google.com/spreadsheets/d/1"&amp;"b6QssHQp2FoAPSMKHOy273KNzAomaIKhtdlvuZ_zDNE/edit?usp=share_link"",""พัทลุง!J801"")+IMPORTRANGE(""https://docs.google.com/spreadsheets/d/1o7UZe4_OqlqtLDHrj01Z2YFRSZDf1DMy1n3XViHaxRc/edit?usp=share_link"",""ภูเก็ต!J801"")+IMPORTRANGE(""https://docs.google.c"&amp;"om/spreadsheets/d/1ctPm1vUzcUCPuOj9-eoHUD85PqINFqUB0TjdSWmR5-c/edit?usp=share_link"",""ยะลา!J801"")+IMPORTRANGE(""https://docs.google.com/spreadsheets/d/1YiDIE7Klmt8osgdapRqYWNr7iPGFSsiJqq46S7PYRE0/edit?usp=share_link"",""ระนอง!J801"")+IMPORTRANGE(""https"&amp;"://docs.google.com/spreadsheets/d/16o_4B-V7AWw_6E93bSpXj_XxVv1oVQctk-B6z1dNEWU/edit?usp=share_link"",""สงขลา!J801"")+IMPORTRANGE(""https://docs.google.com/spreadsheets/d/16cywr71Fj4fA5OGRHsZh30ZG2gwJhMAQv69oVBzYHv0/edit?usp=share_link"",""สตูล!J801"")+IMP"&amp;"ORTRANGE(""https://docs.google.com/spreadsheets/d/1vO9Sws6kMtrVtyvrAJptINXjK8TFBoX9xLYOVK_C8bQ/edit?usp=share_link"",""สุราษฎร์ธานี!J801"")"),0)</f>
        <v>0</v>
      </c>
      <c r="K801" s="37"/>
      <c r="L801" s="37"/>
      <c r="M801" s="37"/>
      <c r="N801" s="37"/>
      <c r="O801" s="162"/>
      <c r="P801" s="162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20.25" hidden="1" customHeight="1">
      <c r="A802" s="613"/>
      <c r="B802" s="614"/>
      <c r="C802" s="614"/>
      <c r="D802" s="614"/>
      <c r="E802" s="600"/>
      <c r="F802" s="719" t="s">
        <v>321</v>
      </c>
      <c r="G802" s="365"/>
      <c r="H802" s="652" t="s">
        <v>46</v>
      </c>
      <c r="I802" s="165"/>
      <c r="J802" s="616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20.25" hidden="1" customHeight="1">
      <c r="A803" s="613"/>
      <c r="B803" s="614"/>
      <c r="C803" s="614"/>
      <c r="D803" s="614"/>
      <c r="E803" s="600"/>
      <c r="F803" s="600"/>
      <c r="G803" s="365"/>
      <c r="H803" s="652" t="s">
        <v>34</v>
      </c>
      <c r="I803" s="165"/>
      <c r="J803" s="616">
        <v>0</v>
      </c>
      <c r="K803" s="166"/>
      <c r="L803" s="166"/>
      <c r="M803" s="166"/>
      <c r="N803" s="166"/>
      <c r="O803" s="166"/>
      <c r="P803" s="166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20.25" hidden="1" customHeight="1">
      <c r="A804" s="792">
        <v>13</v>
      </c>
      <c r="B804" s="793" t="s">
        <v>322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20.25" hidden="1" customHeight="1">
      <c r="A805" s="598"/>
      <c r="B805" s="599"/>
      <c r="C805" s="599" t="s">
        <v>16</v>
      </c>
      <c r="D805" s="892" t="s">
        <v>17</v>
      </c>
      <c r="E805" s="888"/>
      <c r="F805" s="888"/>
      <c r="G805" s="602"/>
      <c r="H805" s="645" t="s">
        <v>12</v>
      </c>
      <c r="I805" s="43"/>
      <c r="J805" s="43"/>
      <c r="K805" s="44"/>
      <c r="L805" s="646">
        <f t="shared" ref="L805:N805" si="370">L806+L807</f>
        <v>0</v>
      </c>
      <c r="M805" s="646">
        <f t="shared" si="370"/>
        <v>0</v>
      </c>
      <c r="N805" s="646">
        <f t="shared" si="370"/>
        <v>0</v>
      </c>
      <c r="O805" s="646">
        <f t="shared" ref="O805:O810" si="371">IF(L805&gt;0,N805*100/L805,0)</f>
        <v>0</v>
      </c>
      <c r="P805" s="646">
        <f t="shared" ref="P805:P810" si="372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20.25" hidden="1" customHeight="1">
      <c r="A806" s="598"/>
      <c r="B806" s="599"/>
      <c r="C806" s="599"/>
      <c r="D806" s="614"/>
      <c r="E806" s="601" t="s">
        <v>184</v>
      </c>
      <c r="F806" s="599"/>
      <c r="G806" s="602"/>
      <c r="H806" s="164" t="s">
        <v>12</v>
      </c>
      <c r="I806" s="43"/>
      <c r="J806" s="43"/>
      <c r="K806" s="44"/>
      <c r="L806" s="44">
        <f t="shared" ref="L806:N806" si="373">L809+L816</f>
        <v>0</v>
      </c>
      <c r="M806" s="44">
        <f t="shared" si="373"/>
        <v>0</v>
      </c>
      <c r="N806" s="44">
        <f t="shared" si="373"/>
        <v>0</v>
      </c>
      <c r="O806" s="44">
        <f t="shared" si="371"/>
        <v>0</v>
      </c>
      <c r="P806" s="44">
        <f t="shared" si="372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20.25" hidden="1" customHeight="1">
      <c r="A807" s="598"/>
      <c r="B807" s="599"/>
      <c r="C807" s="599"/>
      <c r="D807" s="614"/>
      <c r="E807" s="601" t="s">
        <v>185</v>
      </c>
      <c r="F807" s="599"/>
      <c r="G807" s="602"/>
      <c r="H807" s="164" t="s">
        <v>12</v>
      </c>
      <c r="I807" s="43"/>
      <c r="J807" s="43"/>
      <c r="K807" s="44"/>
      <c r="L807" s="44">
        <f t="shared" ref="L807:N807" si="374">L810+L817</f>
        <v>0</v>
      </c>
      <c r="M807" s="44">
        <f t="shared" si="374"/>
        <v>0</v>
      </c>
      <c r="N807" s="44">
        <f t="shared" si="374"/>
        <v>0</v>
      </c>
      <c r="O807" s="44">
        <f t="shared" si="371"/>
        <v>0</v>
      </c>
      <c r="P807" s="44">
        <f t="shared" si="372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20.25" hidden="1" customHeight="1">
      <c r="A808" s="598"/>
      <c r="B808" s="604"/>
      <c r="C808" s="599"/>
      <c r="D808" s="891" t="s">
        <v>20</v>
      </c>
      <c r="E808" s="888"/>
      <c r="F808" s="888"/>
      <c r="G808" s="602"/>
      <c r="H808" s="645" t="s">
        <v>12</v>
      </c>
      <c r="I808" s="165"/>
      <c r="J808" s="165"/>
      <c r="K808" s="166"/>
      <c r="L808" s="646">
        <f t="shared" ref="L808:N808" si="375">L809+L810</f>
        <v>0</v>
      </c>
      <c r="M808" s="646">
        <f t="shared" si="375"/>
        <v>0</v>
      </c>
      <c r="N808" s="646">
        <f t="shared" si="375"/>
        <v>0</v>
      </c>
      <c r="O808" s="646">
        <f t="shared" si="371"/>
        <v>0</v>
      </c>
      <c r="P808" s="646">
        <f t="shared" si="372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20.25" hidden="1" customHeight="1">
      <c r="A809" s="598"/>
      <c r="B809" s="599"/>
      <c r="C809" s="599"/>
      <c r="D809" s="614"/>
      <c r="E809" s="601" t="s">
        <v>184</v>
      </c>
      <c r="F809" s="599"/>
      <c r="G809" s="602"/>
      <c r="H809" s="164" t="s">
        <v>12</v>
      </c>
      <c r="I809" s="43"/>
      <c r="J809" s="43"/>
      <c r="K809" s="44"/>
      <c r="L809" s="92">
        <v>0</v>
      </c>
      <c r="M809" s="92">
        <v>0</v>
      </c>
      <c r="N809" s="92">
        <v>0</v>
      </c>
      <c r="O809" s="44">
        <f t="shared" si="371"/>
        <v>0</v>
      </c>
      <c r="P809" s="44">
        <f t="shared" si="372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20.25" hidden="1" customHeight="1">
      <c r="A810" s="598"/>
      <c r="B810" s="599"/>
      <c r="C810" s="599"/>
      <c r="D810" s="614"/>
      <c r="E810" s="601" t="s">
        <v>185</v>
      </c>
      <c r="F810" s="599"/>
      <c r="G810" s="602"/>
      <c r="H810" s="164" t="s">
        <v>12</v>
      </c>
      <c r="I810" s="43"/>
      <c r="J810" s="43"/>
      <c r="K810" s="44"/>
      <c r="L810" s="92">
        <v>0</v>
      </c>
      <c r="M810" s="92">
        <v>0</v>
      </c>
      <c r="N810" s="44">
        <f>N811+N812+N813+N814</f>
        <v>0</v>
      </c>
      <c r="O810" s="44">
        <f t="shared" si="371"/>
        <v>0</v>
      </c>
      <c r="P810" s="44">
        <f t="shared" si="372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20.25" hidden="1" customHeight="1">
      <c r="A811" s="648"/>
      <c r="B811" s="604"/>
      <c r="C811" s="599"/>
      <c r="D811" s="604"/>
      <c r="E811" s="599"/>
      <c r="F811" s="601" t="s">
        <v>186</v>
      </c>
      <c r="G811" s="602"/>
      <c r="H811" s="164" t="s">
        <v>12</v>
      </c>
      <c r="I811" s="43"/>
      <c r="J811" s="43"/>
      <c r="K811" s="44"/>
      <c r="L811" s="44"/>
      <c r="M811" s="44"/>
      <c r="N811" s="44"/>
      <c r="O811" s="44"/>
      <c r="P811" s="44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20.25" hidden="1" customHeight="1">
      <c r="A812" s="648"/>
      <c r="B812" s="604"/>
      <c r="C812" s="599"/>
      <c r="D812" s="604"/>
      <c r="E812" s="599"/>
      <c r="F812" s="601" t="s">
        <v>187</v>
      </c>
      <c r="G812" s="602"/>
      <c r="H812" s="164" t="s">
        <v>12</v>
      </c>
      <c r="I812" s="43"/>
      <c r="J812" s="43"/>
      <c r="K812" s="44"/>
      <c r="L812" s="44"/>
      <c r="M812" s="44"/>
      <c r="N812" s="44"/>
      <c r="O812" s="44"/>
      <c r="P812" s="44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20.25" hidden="1" customHeight="1">
      <c r="A813" s="648"/>
      <c r="B813" s="604"/>
      <c r="C813" s="599"/>
      <c r="D813" s="604"/>
      <c r="E813" s="599"/>
      <c r="F813" s="601" t="s">
        <v>188</v>
      </c>
      <c r="G813" s="602"/>
      <c r="H813" s="164" t="s">
        <v>12</v>
      </c>
      <c r="I813" s="43"/>
      <c r="J813" s="43"/>
      <c r="K813" s="44"/>
      <c r="L813" s="44"/>
      <c r="M813" s="44"/>
      <c r="N813" s="44"/>
      <c r="O813" s="44"/>
      <c r="P813" s="44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20.25" hidden="1" customHeight="1">
      <c r="A814" s="648"/>
      <c r="B814" s="604"/>
      <c r="C814" s="599"/>
      <c r="D814" s="604"/>
      <c r="E814" s="599"/>
      <c r="F814" s="601" t="s">
        <v>189</v>
      </c>
      <c r="G814" s="602"/>
      <c r="H814" s="164" t="s">
        <v>12</v>
      </c>
      <c r="I814" s="43"/>
      <c r="J814" s="43"/>
      <c r="K814" s="44"/>
      <c r="L814" s="44"/>
      <c r="M814" s="44"/>
      <c r="N814" s="44"/>
      <c r="O814" s="44"/>
      <c r="P814" s="44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20.25" hidden="1" customHeight="1">
      <c r="A815" s="598"/>
      <c r="B815" s="604"/>
      <c r="C815" s="599"/>
      <c r="D815" s="891" t="s">
        <v>21</v>
      </c>
      <c r="E815" s="888"/>
      <c r="F815" s="888"/>
      <c r="G815" s="602"/>
      <c r="H815" s="782" t="s">
        <v>12</v>
      </c>
      <c r="I815" s="165"/>
      <c r="J815" s="165"/>
      <c r="K815" s="166"/>
      <c r="L815" s="646">
        <f t="shared" ref="L815:N815" si="376">L816+L817</f>
        <v>0</v>
      </c>
      <c r="M815" s="646">
        <f t="shared" si="376"/>
        <v>0</v>
      </c>
      <c r="N815" s="646">
        <f t="shared" si="376"/>
        <v>0</v>
      </c>
      <c r="O815" s="646">
        <f t="shared" ref="O815:O817" si="377">IF(L815&gt;0,N815*100/L815,0)</f>
        <v>0</v>
      </c>
      <c r="P815" s="646">
        <f t="shared" ref="P815:P817" si="378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20.25" hidden="1" customHeight="1">
      <c r="A816" s="598"/>
      <c r="B816" s="604"/>
      <c r="C816" s="599"/>
      <c r="D816" s="604"/>
      <c r="E816" s="601" t="s">
        <v>18</v>
      </c>
      <c r="F816" s="599"/>
      <c r="G816" s="602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44">
        <f t="shared" si="377"/>
        <v>0</v>
      </c>
      <c r="P816" s="44">
        <f t="shared" si="378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20.25" hidden="1" customHeight="1">
      <c r="A817" s="598"/>
      <c r="B817" s="604"/>
      <c r="C817" s="599"/>
      <c r="D817" s="604"/>
      <c r="E817" s="601" t="s">
        <v>19</v>
      </c>
      <c r="F817" s="599"/>
      <c r="G817" s="602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44">
        <f t="shared" si="377"/>
        <v>0</v>
      </c>
      <c r="P817" s="44">
        <f t="shared" si="378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20.25" hidden="1" customHeight="1">
      <c r="A818" s="613"/>
      <c r="B818" s="614"/>
      <c r="C818" s="599" t="s">
        <v>16</v>
      </c>
      <c r="D818" s="812" t="s">
        <v>38</v>
      </c>
      <c r="E818" s="650"/>
      <c r="F818" s="650"/>
      <c r="G818" s="651"/>
      <c r="H818" s="365"/>
      <c r="I818" s="165"/>
      <c r="J818" s="165"/>
      <c r="K818" s="166"/>
      <c r="L818" s="166"/>
      <c r="M818" s="166"/>
      <c r="N818" s="166"/>
      <c r="O818" s="166"/>
      <c r="P818" s="166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20.25" hidden="1" customHeight="1">
      <c r="A819" s="813"/>
      <c r="B819" s="814"/>
      <c r="C819" s="815"/>
      <c r="D819" s="814"/>
      <c r="E819" s="816" t="s">
        <v>323</v>
      </c>
      <c r="F819" s="815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20.25" customHeight="1">
      <c r="A820" s="821" t="s">
        <v>324</v>
      </c>
      <c r="B820" s="822"/>
      <c r="C820" s="822"/>
      <c r="D820" s="823"/>
      <c r="E820" s="822"/>
      <c r="F820" s="822"/>
      <c r="G820" s="824"/>
      <c r="H820" s="825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214"/>
      <c r="J820" s="214"/>
      <c r="K820" s="826"/>
      <c r="L820" s="826"/>
      <c r="M820" s="826"/>
      <c r="N820" s="826"/>
      <c r="O820" s="826"/>
      <c r="P820" s="826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20.25" customHeight="1">
      <c r="A821" s="743"/>
      <c r="B821" s="576" t="s">
        <v>325</v>
      </c>
      <c r="C821" s="575"/>
      <c r="D821" s="574"/>
      <c r="E821" s="575"/>
      <c r="F821" s="575"/>
      <c r="G821" s="188"/>
      <c r="H821" s="35" t="s">
        <v>12</v>
      </c>
      <c r="I821" s="36">
        <f ca="1">IFERROR(__xludf.DUMMYFUNCTION("IMPORTRANGE(""https://docs.google.com/spreadsheets/d/1kC41EOXpGBFOW658Fs3oD8beYlym0-zO54WY-2Qnp9I/edit?usp=share_link"",""กระบี่!I821"")
+IMPORTRANGE(""https://docs.google.com/spreadsheets/d/1FbzMZY_f3MDiEuK7RpCQKrilJ_kpX0Wm7QBZ1L7EjIU/edit?usp=share_link"&amp;""",""ชุมพร!I821"")+IMPORTRANGE(""https://docs.google.com/spreadsheets/d/1v5sN-00LrXuhBxw4dkh2GrG_z4l5oAqOdJRBCsUyMaM/edit?usp=share_link"",""ตรัง!I821"")+IMPORTRANGE(""https://docs.google.com/spreadsheets/d/1T5rRTzFc79aSIvqnzkZNvwPstq829QYz_xALlO1Z0s8/edi"&amp;"t?usp=share_link"",""นครศรีธรรมราช!I821"")+IMPORTRANGE(""https://docs.google.com/spreadsheets/d/1BeghqumK0IvCmRd2QOy6_afsZq7ZtAGrSnVJy2u7WmY/edit?usp=share_link"",""นราธิวาส!I821"")+IMPORTRANGE(""https://docs.google.com/spreadsheets/d/1IwnW3-jjRf74MCLW-6P"&amp;"iFwMUffRQXZwZA7YM609NmRc/edit?usp=share_link"",""ปัตตานี!I821"")+IMPORTRANGE(""https://docs.google.com/spreadsheets/d/1vl4QWbWdFruual5o_wdo6ZSqXZ_it806oja4CctTLKs/edit?usp=share_link"",""พังงา!I821"")+IMPORTRANGE(""https://docs.google.com/spreadsheets/d/1"&amp;"b6QssHQp2FoAPSMKHOy273KNzAomaIKhtdlvuZ_zDNE/edit?usp=share_link"",""พัทลุง!I821"")+IMPORTRANGE(""https://docs.google.com/spreadsheets/d/1o7UZe4_OqlqtLDHrj01Z2YFRSZDf1DMy1n3XViHaxRc/edit?usp=share_link"",""ภูเก็ต!I821"")+IMPORTRANGE(""https://docs.google.c"&amp;"om/spreadsheets/d/1ctPm1vUzcUCPuOj9-eoHUD85PqINFqUB0TjdSWmR5-c/edit?usp=share_link"",""ยะลา!I821"")+IMPORTRANGE(""https://docs.google.com/spreadsheets/d/1YiDIE7Klmt8osgdapRqYWNr7iPGFSsiJqq46S7PYRE0/edit?usp=share_link"",""ระนอง!I821"")+IMPORTRANGE(""https"&amp;"://docs.google.com/spreadsheets/d/16o_4B-V7AWw_6E93bSpXj_XxVv1oVQctk-B6z1dNEWU/edit?usp=share_link"",""สงขลา!I821"")+IMPORTRANGE(""https://docs.google.com/spreadsheets/d/16cywr71Fj4fA5OGRHsZh30ZG2gwJhMAQv69oVBzYHv0/edit?usp=share_link"",""สตูล!I821"")+IMP"&amp;"ORTRANGE(""https://docs.google.com/spreadsheets/d/1vO9Sws6kMtrVtyvrAJptINXjK8TFBoX9xLYOVK_C8bQ/edit?usp=share_link"",""สุราษฎร์ธานี!I821"")"),19372344.5)</f>
        <v>19372344.5</v>
      </c>
      <c r="J821" s="36">
        <f ca="1">IFERROR(__xludf.DUMMYFUNCTION("IMPORTRANGE(""https://docs.google.com/spreadsheets/d/1kC41EOXpGBFOW658Fs3oD8beYlym0-zO54WY-2Qnp9I/edit?usp=share_link"",""กระบี่!J821"")
+IMPORTRANGE(""https://docs.google.com/spreadsheets/d/1FbzMZY_f3MDiEuK7RpCQKrilJ_kpX0Wm7QBZ1L7EjIU/edit?usp=share_link"&amp;""",""ชุมพร!J821"")+IMPORTRANGE(""https://docs.google.com/spreadsheets/d/1v5sN-00LrXuhBxw4dkh2GrG_z4l5oAqOdJRBCsUyMaM/edit?usp=share_link"",""ตรัง!J821"")+IMPORTRANGE(""https://docs.google.com/spreadsheets/d/1T5rRTzFc79aSIvqnzkZNvwPstq829QYz_xALlO1Z0s8/edi"&amp;"t?usp=share_link"",""นครศรีธรรมราช!J821"")+IMPORTRANGE(""https://docs.google.com/spreadsheets/d/1BeghqumK0IvCmRd2QOy6_afsZq7ZtAGrSnVJy2u7WmY/edit?usp=share_link"",""นราธิวาส!J821"")+IMPORTRANGE(""https://docs.google.com/spreadsheets/d/1IwnW3-jjRf74MCLW-6P"&amp;"iFwMUffRQXZwZA7YM609NmRc/edit?usp=share_link"",""ปัตตานี!J821"")+IMPORTRANGE(""https://docs.google.com/spreadsheets/d/1vl4QWbWdFruual5o_wdo6ZSqXZ_it806oja4CctTLKs/edit?usp=share_link"",""พังงา!J821"")+IMPORTRANGE(""https://docs.google.com/spreadsheets/d/1"&amp;"b6QssHQp2FoAPSMKHOy273KNzAomaIKhtdlvuZ_zDNE/edit?usp=share_link"",""พัทลุง!J821"")+IMPORTRANGE(""https://docs.google.com/spreadsheets/d/1o7UZe4_OqlqtLDHrj01Z2YFRSZDf1DMy1n3XViHaxRc/edit?usp=share_link"",""ภูเก็ต!J821"")+IMPORTRANGE(""https://docs.google.c"&amp;"om/spreadsheets/d/1ctPm1vUzcUCPuOj9-eoHUD85PqINFqUB0TjdSWmR5-c/edit?usp=share_link"",""ยะลา!J821"")+IMPORTRANGE(""https://docs.google.com/spreadsheets/d/1YiDIE7Klmt8osgdapRqYWNr7iPGFSsiJqq46S7PYRE0/edit?usp=share_link"",""ระนอง!J821"")+IMPORTRANGE(""https"&amp;"://docs.google.com/spreadsheets/d/16o_4B-V7AWw_6E93bSpXj_XxVv1oVQctk-B6z1dNEWU/edit?usp=share_link"",""สงขลา!J821"")+IMPORTRANGE(""https://docs.google.com/spreadsheets/d/16cywr71Fj4fA5OGRHsZh30ZG2gwJhMAQv69oVBzYHv0/edit?usp=share_link"",""สตูล!J821"")+IMP"&amp;"ORTRANGE(""https://docs.google.com/spreadsheets/d/1vO9Sws6kMtrVtyvrAJptINXjK8TFBoX9xLYOVK_C8bQ/edit?usp=share_link"",""สุราษฎร์ธานี!J821"")"),19297320.7)</f>
        <v>19297320.699999999</v>
      </c>
      <c r="K821" s="37">
        <f t="shared" ref="K821:K828" ca="1" si="379">IF(I821&gt;0,J821*100/I821,0)</f>
        <v>99.612727308251209</v>
      </c>
      <c r="L821" s="37"/>
      <c r="M821" s="37"/>
      <c r="N821" s="37"/>
      <c r="O821" s="37"/>
      <c r="P821" s="37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20.25" customHeight="1">
      <c r="A822" s="743"/>
      <c r="B822" s="575"/>
      <c r="C822" s="575"/>
      <c r="D822" s="574"/>
      <c r="E822" s="575"/>
      <c r="F822" s="575"/>
      <c r="G822" s="188"/>
      <c r="H822" s="35" t="s">
        <v>35</v>
      </c>
      <c r="I822" s="36">
        <f ca="1">IFERROR(__xludf.DUMMYFUNCTION("IMPORTRANGE(""https://docs.google.com/spreadsheets/d/1kC41EOXpGBFOW658Fs3oD8beYlym0-zO54WY-2Qnp9I/edit?usp=share_link"",""กระบี่!I822"")
+IMPORTRANGE(""https://docs.google.com/spreadsheets/d/1FbzMZY_f3MDiEuK7RpCQKrilJ_kpX0Wm7QBZ1L7EjIU/edit?usp=share_link"&amp;""",""ชุมพร!I822"")+IMPORTRANGE(""https://docs.google.com/spreadsheets/d/1v5sN-00LrXuhBxw4dkh2GrG_z4l5oAqOdJRBCsUyMaM/edit?usp=share_link"",""ตรัง!I822"")+IMPORTRANGE(""https://docs.google.com/spreadsheets/d/1T5rRTzFc79aSIvqnzkZNvwPstq829QYz_xALlO1Z0s8/edi"&amp;"t?usp=share_link"",""นครศรีธรรมราช!I822"")+IMPORTRANGE(""https://docs.google.com/spreadsheets/d/1BeghqumK0IvCmRd2QOy6_afsZq7ZtAGrSnVJy2u7WmY/edit?usp=share_link"",""นราธิวาส!I822"")+IMPORTRANGE(""https://docs.google.com/spreadsheets/d/1IwnW3-jjRf74MCLW-6P"&amp;"iFwMUffRQXZwZA7YM609NmRc/edit?usp=share_link"",""ปัตตานี!I822"")+IMPORTRANGE(""https://docs.google.com/spreadsheets/d/1vl4QWbWdFruual5o_wdo6ZSqXZ_it806oja4CctTLKs/edit?usp=share_link"",""พังงา!I822"")+IMPORTRANGE(""https://docs.google.com/spreadsheets/d/1"&amp;"b6QssHQp2FoAPSMKHOy273KNzAomaIKhtdlvuZ_zDNE/edit?usp=share_link"",""พัทลุง!I822"")+IMPORTRANGE(""https://docs.google.com/spreadsheets/d/1o7UZe4_OqlqtLDHrj01Z2YFRSZDf1DMy1n3XViHaxRc/edit?usp=share_link"",""ภูเก็ต!I822"")+IMPORTRANGE(""https://docs.google.c"&amp;"om/spreadsheets/d/1ctPm1vUzcUCPuOj9-eoHUD85PqINFqUB0TjdSWmR5-c/edit?usp=share_link"",""ยะลา!I822"")+IMPORTRANGE(""https://docs.google.com/spreadsheets/d/1YiDIE7Klmt8osgdapRqYWNr7iPGFSsiJqq46S7PYRE0/edit?usp=share_link"",""ระนอง!I822"")+IMPORTRANGE(""https"&amp;"://docs.google.com/spreadsheets/d/16o_4B-V7AWw_6E93bSpXj_XxVv1oVQctk-B6z1dNEWU/edit?usp=share_link"",""สงขลา!I822"")+IMPORTRANGE(""https://docs.google.com/spreadsheets/d/16cywr71Fj4fA5OGRHsZh30ZG2gwJhMAQv69oVBzYHv0/edit?usp=share_link"",""สตูล!I822"")+IMP"&amp;"ORTRANGE(""https://docs.google.com/spreadsheets/d/1vO9Sws6kMtrVtyvrAJptINXjK8TFBoX9xLYOVK_C8bQ/edit?usp=share_link"",""สุราษฎร์ธานี!I822"")"),1457)</f>
        <v>1457</v>
      </c>
      <c r="J822" s="36">
        <f ca="1">IFERROR(__xludf.DUMMYFUNCTION("IMPORTRANGE(""https://docs.google.com/spreadsheets/d/1kC41EOXpGBFOW658Fs3oD8beYlym0-zO54WY-2Qnp9I/edit?usp=share_link"",""กระบี่!J822"")
+IMPORTRANGE(""https://docs.google.com/spreadsheets/d/1FbzMZY_f3MDiEuK7RpCQKrilJ_kpX0Wm7QBZ1L7EjIU/edit?usp=share_link"&amp;""",""ชุมพร!J822"")+IMPORTRANGE(""https://docs.google.com/spreadsheets/d/1v5sN-00LrXuhBxw4dkh2GrG_z4l5oAqOdJRBCsUyMaM/edit?usp=share_link"",""ตรัง!J822"")+IMPORTRANGE(""https://docs.google.com/spreadsheets/d/1T5rRTzFc79aSIvqnzkZNvwPstq829QYz_xALlO1Z0s8/edi"&amp;"t?usp=share_link"",""นครศรีธรรมราช!J822"")+IMPORTRANGE(""https://docs.google.com/spreadsheets/d/1BeghqumK0IvCmRd2QOy6_afsZq7ZtAGrSnVJy2u7WmY/edit?usp=share_link"",""นราธิวาส!J822"")+IMPORTRANGE(""https://docs.google.com/spreadsheets/d/1IwnW3-jjRf74MCLW-6P"&amp;"iFwMUffRQXZwZA7YM609NmRc/edit?usp=share_link"",""ปัตตานี!J822"")+IMPORTRANGE(""https://docs.google.com/spreadsheets/d/1vl4QWbWdFruual5o_wdo6ZSqXZ_it806oja4CctTLKs/edit?usp=share_link"",""พังงา!J822"")+IMPORTRANGE(""https://docs.google.com/spreadsheets/d/1"&amp;"b6QssHQp2FoAPSMKHOy273KNzAomaIKhtdlvuZ_zDNE/edit?usp=share_link"",""พัทลุง!J822"")+IMPORTRANGE(""https://docs.google.com/spreadsheets/d/1o7UZe4_OqlqtLDHrj01Z2YFRSZDf1DMy1n3XViHaxRc/edit?usp=share_link"",""ภูเก็ต!J822"")+IMPORTRANGE(""https://docs.google.c"&amp;"om/spreadsheets/d/1ctPm1vUzcUCPuOj9-eoHUD85PqINFqUB0TjdSWmR5-c/edit?usp=share_link"",""ยะลา!J822"")+IMPORTRANGE(""https://docs.google.com/spreadsheets/d/1YiDIE7Klmt8osgdapRqYWNr7iPGFSsiJqq46S7PYRE0/edit?usp=share_link"",""ระนอง!J822"")+IMPORTRANGE(""https"&amp;"://docs.google.com/spreadsheets/d/16o_4B-V7AWw_6E93bSpXj_XxVv1oVQctk-B6z1dNEWU/edit?usp=share_link"",""สงขลา!J822"")+IMPORTRANGE(""https://docs.google.com/spreadsheets/d/16cywr71Fj4fA5OGRHsZh30ZG2gwJhMAQv69oVBzYHv0/edit?usp=share_link"",""สตูล!J822"")+IMP"&amp;"ORTRANGE(""https://docs.google.com/spreadsheets/d/1vO9Sws6kMtrVtyvrAJptINXjK8TFBoX9xLYOVK_C8bQ/edit?usp=share_link"",""สุราษฎร์ธานี!J822"")"),1488)</f>
        <v>1488</v>
      </c>
      <c r="K822" s="37">
        <f t="shared" ca="1" si="379"/>
        <v>102.12765957446808</v>
      </c>
      <c r="L822" s="37"/>
      <c r="M822" s="37"/>
      <c r="N822" s="37"/>
      <c r="O822" s="37"/>
      <c r="P822" s="37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20.25" customHeight="1">
      <c r="A823" s="743"/>
      <c r="B823" s="576" t="s">
        <v>326</v>
      </c>
      <c r="C823" s="575"/>
      <c r="D823" s="574"/>
      <c r="E823" s="575"/>
      <c r="F823" s="575"/>
      <c r="G823" s="188"/>
      <c r="H823" s="35" t="s">
        <v>12</v>
      </c>
      <c r="I823" s="36">
        <f ca="1">IFERROR(__xludf.DUMMYFUNCTION("IMPORTRANGE(""https://docs.google.com/spreadsheets/d/1kC41EOXpGBFOW658Fs3oD8beYlym0-zO54WY-2Qnp9I/edit?usp=share_link"",""กระบี่!I823"")
+IMPORTRANGE(""https://docs.google.com/spreadsheets/d/1FbzMZY_f3MDiEuK7RpCQKrilJ_kpX0Wm7QBZ1L7EjIU/edit?usp=share_link"&amp;""",""ชุมพร!I823"")+IMPORTRANGE(""https://docs.google.com/spreadsheets/d/1v5sN-00LrXuhBxw4dkh2GrG_z4l5oAqOdJRBCsUyMaM/edit?usp=share_link"",""ตรัง!I823"")+IMPORTRANGE(""https://docs.google.com/spreadsheets/d/1T5rRTzFc79aSIvqnzkZNvwPstq829QYz_xALlO1Z0s8/edi"&amp;"t?usp=share_link"",""นครศรีธรรมราช!I823"")+IMPORTRANGE(""https://docs.google.com/spreadsheets/d/1BeghqumK0IvCmRd2QOy6_afsZq7ZtAGrSnVJy2u7WmY/edit?usp=share_link"",""นราธิวาส!I823"")+IMPORTRANGE(""https://docs.google.com/spreadsheets/d/1IwnW3-jjRf74MCLW-6P"&amp;"iFwMUffRQXZwZA7YM609NmRc/edit?usp=share_link"",""ปัตตานี!I823"")+IMPORTRANGE(""https://docs.google.com/spreadsheets/d/1vl4QWbWdFruual5o_wdo6ZSqXZ_it806oja4CctTLKs/edit?usp=share_link"",""พังงา!I823"")+IMPORTRANGE(""https://docs.google.com/spreadsheets/d/1"&amp;"b6QssHQp2FoAPSMKHOy273KNzAomaIKhtdlvuZ_zDNE/edit?usp=share_link"",""พัทลุง!I823"")+IMPORTRANGE(""https://docs.google.com/spreadsheets/d/1o7UZe4_OqlqtLDHrj01Z2YFRSZDf1DMy1n3XViHaxRc/edit?usp=share_link"",""ภูเก็ต!I823"")+IMPORTRANGE(""https://docs.google.c"&amp;"om/spreadsheets/d/1ctPm1vUzcUCPuOj9-eoHUD85PqINFqUB0TjdSWmR5-c/edit?usp=share_link"",""ยะลา!I823"")+IMPORTRANGE(""https://docs.google.com/spreadsheets/d/1YiDIE7Klmt8osgdapRqYWNr7iPGFSsiJqq46S7PYRE0/edit?usp=share_link"",""ระนอง!I823"")+IMPORTRANGE(""https"&amp;"://docs.google.com/spreadsheets/d/16o_4B-V7AWw_6E93bSpXj_XxVv1oVQctk-B6z1dNEWU/edit?usp=share_link"",""สงขลา!I823"")+IMPORTRANGE(""https://docs.google.com/spreadsheets/d/16cywr71Fj4fA5OGRHsZh30ZG2gwJhMAQv69oVBzYHv0/edit?usp=share_link"",""สตูล!I823"")+IMP"&amp;"ORTRANGE(""https://docs.google.com/spreadsheets/d/1vO9Sws6kMtrVtyvrAJptINXjK8TFBoX9xLYOVK_C8bQ/edit?usp=share_link"",""สุราษฎร์ธานี!I823"")"),14876417.26)</f>
        <v>14876417.26</v>
      </c>
      <c r="J823" s="36">
        <f ca="1">IFERROR(__xludf.DUMMYFUNCTION("IMPORTRANGE(""https://docs.google.com/spreadsheets/d/1kC41EOXpGBFOW658Fs3oD8beYlym0-zO54WY-2Qnp9I/edit?usp=share_link"",""กระบี่!J823"")
+IMPORTRANGE(""https://docs.google.com/spreadsheets/d/1FbzMZY_f3MDiEuK7RpCQKrilJ_kpX0Wm7QBZ1L7EjIU/edit?usp=share_link"&amp;""",""ชุมพร!J823"")+IMPORTRANGE(""https://docs.google.com/spreadsheets/d/1v5sN-00LrXuhBxw4dkh2GrG_z4l5oAqOdJRBCsUyMaM/edit?usp=share_link"",""ตรัง!J823"")+IMPORTRANGE(""https://docs.google.com/spreadsheets/d/1T5rRTzFc79aSIvqnzkZNvwPstq829QYz_xALlO1Z0s8/edi"&amp;"t?usp=share_link"",""นครศรีธรรมราช!J823"")+IMPORTRANGE(""https://docs.google.com/spreadsheets/d/1BeghqumK0IvCmRd2QOy6_afsZq7ZtAGrSnVJy2u7WmY/edit?usp=share_link"",""นราธิวาส!J823"")+IMPORTRANGE(""https://docs.google.com/spreadsheets/d/1IwnW3-jjRf74MCLW-6P"&amp;"iFwMUffRQXZwZA7YM609NmRc/edit?usp=share_link"",""ปัตตานี!J823"")+IMPORTRANGE(""https://docs.google.com/spreadsheets/d/1vl4QWbWdFruual5o_wdo6ZSqXZ_it806oja4CctTLKs/edit?usp=share_link"",""พังงา!J823"")+IMPORTRANGE(""https://docs.google.com/spreadsheets/d/1"&amp;"b6QssHQp2FoAPSMKHOy273KNzAomaIKhtdlvuZ_zDNE/edit?usp=share_link"",""พัทลุง!J823"")+IMPORTRANGE(""https://docs.google.com/spreadsheets/d/1o7UZe4_OqlqtLDHrj01Z2YFRSZDf1DMy1n3XViHaxRc/edit?usp=share_link"",""ภูเก็ต!J823"")+IMPORTRANGE(""https://docs.google.c"&amp;"om/spreadsheets/d/1ctPm1vUzcUCPuOj9-eoHUD85PqINFqUB0TjdSWmR5-c/edit?usp=share_link"",""ยะลา!J823"")+IMPORTRANGE(""https://docs.google.com/spreadsheets/d/1YiDIE7Klmt8osgdapRqYWNr7iPGFSsiJqq46S7PYRE0/edit?usp=share_link"",""ระนอง!J823"")+IMPORTRANGE(""https"&amp;"://docs.google.com/spreadsheets/d/16o_4B-V7AWw_6E93bSpXj_XxVv1oVQctk-B6z1dNEWU/edit?usp=share_link"",""สงขลา!J823"")+IMPORTRANGE(""https://docs.google.com/spreadsheets/d/16cywr71Fj4fA5OGRHsZh30ZG2gwJhMAQv69oVBzYHv0/edit?usp=share_link"",""สตูล!J823"")+IMP"&amp;"ORTRANGE(""https://docs.google.com/spreadsheets/d/1vO9Sws6kMtrVtyvrAJptINXjK8TFBoX9xLYOVK_C8bQ/edit?usp=share_link"",""สุราษฎร์ธานี!J823"")"),6278741.88)</f>
        <v>6278741.8799999999</v>
      </c>
      <c r="K823" s="37">
        <f t="shared" ca="1" si="379"/>
        <v>42.206008142043736</v>
      </c>
      <c r="L823" s="37"/>
      <c r="M823" s="37"/>
      <c r="N823" s="37"/>
      <c r="O823" s="37"/>
      <c r="P823" s="37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20.25" customHeight="1">
      <c r="A824" s="743"/>
      <c r="B824" s="575"/>
      <c r="C824" s="575"/>
      <c r="D824" s="574"/>
      <c r="E824" s="575"/>
      <c r="F824" s="575"/>
      <c r="G824" s="188"/>
      <c r="H824" s="35" t="s">
        <v>35</v>
      </c>
      <c r="I824" s="36">
        <f ca="1">IFERROR(__xludf.DUMMYFUNCTION("IMPORTRANGE(""https://docs.google.com/spreadsheets/d/1kC41EOXpGBFOW658Fs3oD8beYlym0-zO54WY-2Qnp9I/edit?usp=share_link"",""กระบี่!I824"")
+IMPORTRANGE(""https://docs.google.com/spreadsheets/d/1FbzMZY_f3MDiEuK7RpCQKrilJ_kpX0Wm7QBZ1L7EjIU/edit?usp=share_link"&amp;""",""ชุมพร!I824"")+IMPORTRANGE(""https://docs.google.com/spreadsheets/d/1v5sN-00LrXuhBxw4dkh2GrG_z4l5oAqOdJRBCsUyMaM/edit?usp=share_link"",""ตรัง!I824"")+IMPORTRANGE(""https://docs.google.com/spreadsheets/d/1T5rRTzFc79aSIvqnzkZNvwPstq829QYz_xALlO1Z0s8/edi"&amp;"t?usp=share_link"",""นครศรีธรรมราช!I824"")+IMPORTRANGE(""https://docs.google.com/spreadsheets/d/1BeghqumK0IvCmRd2QOy6_afsZq7ZtAGrSnVJy2u7WmY/edit?usp=share_link"",""นราธิวาส!I824"")+IMPORTRANGE(""https://docs.google.com/spreadsheets/d/1IwnW3-jjRf74MCLW-6P"&amp;"iFwMUffRQXZwZA7YM609NmRc/edit?usp=share_link"",""ปัตตานี!I824"")+IMPORTRANGE(""https://docs.google.com/spreadsheets/d/1vl4QWbWdFruual5o_wdo6ZSqXZ_it806oja4CctTLKs/edit?usp=share_link"",""พังงา!I824"")+IMPORTRANGE(""https://docs.google.com/spreadsheets/d/1"&amp;"b6QssHQp2FoAPSMKHOy273KNzAomaIKhtdlvuZ_zDNE/edit?usp=share_link"",""พัทลุง!I824"")+IMPORTRANGE(""https://docs.google.com/spreadsheets/d/1o7UZe4_OqlqtLDHrj01Z2YFRSZDf1DMy1n3XViHaxRc/edit?usp=share_link"",""ภูเก็ต!I824"")+IMPORTRANGE(""https://docs.google.c"&amp;"om/spreadsheets/d/1ctPm1vUzcUCPuOj9-eoHUD85PqINFqUB0TjdSWmR5-c/edit?usp=share_link"",""ยะลา!I824"")+IMPORTRANGE(""https://docs.google.com/spreadsheets/d/1YiDIE7Klmt8osgdapRqYWNr7iPGFSsiJqq46S7PYRE0/edit?usp=share_link"",""ระนอง!I824"")+IMPORTRANGE(""https"&amp;"://docs.google.com/spreadsheets/d/16o_4B-V7AWw_6E93bSpXj_XxVv1oVQctk-B6z1dNEWU/edit?usp=share_link"",""สงขลา!I824"")+IMPORTRANGE(""https://docs.google.com/spreadsheets/d/16cywr71Fj4fA5OGRHsZh30ZG2gwJhMAQv69oVBzYHv0/edit?usp=share_link"",""สตูล!I824"")+IMP"&amp;"ORTRANGE(""https://docs.google.com/spreadsheets/d/1vO9Sws6kMtrVtyvrAJptINXjK8TFBoX9xLYOVK_C8bQ/edit?usp=share_link"",""สุราษฎร์ธานี!I824"")"),723)</f>
        <v>723</v>
      </c>
      <c r="J824" s="36">
        <f ca="1">IFERROR(__xludf.DUMMYFUNCTION("IMPORTRANGE(""https://docs.google.com/spreadsheets/d/1kC41EOXpGBFOW658Fs3oD8beYlym0-zO54WY-2Qnp9I/edit?usp=share_link"",""กระบี่!J824"")
+IMPORTRANGE(""https://docs.google.com/spreadsheets/d/1FbzMZY_f3MDiEuK7RpCQKrilJ_kpX0Wm7QBZ1L7EjIU/edit?usp=share_link"&amp;""",""ชุมพร!J824"")+IMPORTRANGE(""https://docs.google.com/spreadsheets/d/1v5sN-00LrXuhBxw4dkh2GrG_z4l5oAqOdJRBCsUyMaM/edit?usp=share_link"",""ตรัง!J824"")+IMPORTRANGE(""https://docs.google.com/spreadsheets/d/1T5rRTzFc79aSIvqnzkZNvwPstq829QYz_xALlO1Z0s8/edi"&amp;"t?usp=share_link"",""นครศรีธรรมราช!J824"")+IMPORTRANGE(""https://docs.google.com/spreadsheets/d/1BeghqumK0IvCmRd2QOy6_afsZq7ZtAGrSnVJy2u7WmY/edit?usp=share_link"",""นราธิวาส!J824"")+IMPORTRANGE(""https://docs.google.com/spreadsheets/d/1IwnW3-jjRf74MCLW-6P"&amp;"iFwMUffRQXZwZA7YM609NmRc/edit?usp=share_link"",""ปัตตานี!J824"")+IMPORTRANGE(""https://docs.google.com/spreadsheets/d/1vl4QWbWdFruual5o_wdo6ZSqXZ_it806oja4CctTLKs/edit?usp=share_link"",""พังงา!J824"")+IMPORTRANGE(""https://docs.google.com/spreadsheets/d/1"&amp;"b6QssHQp2FoAPSMKHOy273KNzAomaIKhtdlvuZ_zDNE/edit?usp=share_link"",""พัทลุง!J824"")+IMPORTRANGE(""https://docs.google.com/spreadsheets/d/1o7UZe4_OqlqtLDHrj01Z2YFRSZDf1DMy1n3XViHaxRc/edit?usp=share_link"",""ภูเก็ต!J824"")+IMPORTRANGE(""https://docs.google.c"&amp;"om/spreadsheets/d/1ctPm1vUzcUCPuOj9-eoHUD85PqINFqUB0TjdSWmR5-c/edit?usp=share_link"",""ยะลา!J824"")+IMPORTRANGE(""https://docs.google.com/spreadsheets/d/1YiDIE7Klmt8osgdapRqYWNr7iPGFSsiJqq46S7PYRE0/edit?usp=share_link"",""ระนอง!J824"")+IMPORTRANGE(""https"&amp;"://docs.google.com/spreadsheets/d/16o_4B-V7AWw_6E93bSpXj_XxVv1oVQctk-B6z1dNEWU/edit?usp=share_link"",""สงขลา!J824"")+IMPORTRANGE(""https://docs.google.com/spreadsheets/d/16cywr71Fj4fA5OGRHsZh30ZG2gwJhMAQv69oVBzYHv0/edit?usp=share_link"",""สตูล!J824"")+IMP"&amp;"ORTRANGE(""https://docs.google.com/spreadsheets/d/1vO9Sws6kMtrVtyvrAJptINXjK8TFBoX9xLYOVK_C8bQ/edit?usp=share_link"",""สุราษฎร์ธานี!J824"")"),666)</f>
        <v>666</v>
      </c>
      <c r="K824" s="37">
        <f t="shared" ca="1" si="379"/>
        <v>92.116182572614107</v>
      </c>
      <c r="L824" s="37"/>
      <c r="M824" s="37"/>
      <c r="N824" s="37"/>
      <c r="O824" s="37"/>
      <c r="P824" s="37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20.25" customHeight="1">
      <c r="A825" s="743"/>
      <c r="B825" s="576" t="s">
        <v>327</v>
      </c>
      <c r="C825" s="575"/>
      <c r="D825" s="574"/>
      <c r="E825" s="575"/>
      <c r="F825" s="575"/>
      <c r="G825" s="188"/>
      <c r="H825" s="35" t="s">
        <v>12</v>
      </c>
      <c r="I825" s="36">
        <f ca="1">IFERROR(__xludf.DUMMYFUNCTION("IMPORTRANGE(""https://docs.google.com/spreadsheets/d/1kC41EOXpGBFOW658Fs3oD8beYlym0-zO54WY-2Qnp9I/edit?usp=share_link"",""กระบี่!I825"")
+IMPORTRANGE(""https://docs.google.com/spreadsheets/d/1FbzMZY_f3MDiEuK7RpCQKrilJ_kpX0Wm7QBZ1L7EjIU/edit?usp=share_link"&amp;""",""ชุมพร!I825"")+IMPORTRANGE(""https://docs.google.com/spreadsheets/d/1v5sN-00LrXuhBxw4dkh2GrG_z4l5oAqOdJRBCsUyMaM/edit?usp=share_link"",""ตรัง!I825"")+IMPORTRANGE(""https://docs.google.com/spreadsheets/d/1T5rRTzFc79aSIvqnzkZNvwPstq829QYz_xALlO1Z0s8/edi"&amp;"t?usp=share_link"",""นครศรีธรรมราช!I825"")+IMPORTRANGE(""https://docs.google.com/spreadsheets/d/1BeghqumK0IvCmRd2QOy6_afsZq7ZtAGrSnVJy2u7WmY/edit?usp=share_link"",""นราธิวาส!I825"")+IMPORTRANGE(""https://docs.google.com/spreadsheets/d/1IwnW3-jjRf74MCLW-6P"&amp;"iFwMUffRQXZwZA7YM609NmRc/edit?usp=share_link"",""ปัตตานี!I825"")+IMPORTRANGE(""https://docs.google.com/spreadsheets/d/1vl4QWbWdFruual5o_wdo6ZSqXZ_it806oja4CctTLKs/edit?usp=share_link"",""พังงา!I825"")+IMPORTRANGE(""https://docs.google.com/spreadsheets/d/1"&amp;"b6QssHQp2FoAPSMKHOy273KNzAomaIKhtdlvuZ_zDNE/edit?usp=share_link"",""พัทลุง!I825"")+IMPORTRANGE(""https://docs.google.com/spreadsheets/d/1o7UZe4_OqlqtLDHrj01Z2YFRSZDf1DMy1n3XViHaxRc/edit?usp=share_link"",""ภูเก็ต!I825"")+IMPORTRANGE(""https://docs.google.c"&amp;"om/spreadsheets/d/1ctPm1vUzcUCPuOj9-eoHUD85PqINFqUB0TjdSWmR5-c/edit?usp=share_link"",""ยะลา!I825"")+IMPORTRANGE(""https://docs.google.com/spreadsheets/d/1YiDIE7Klmt8osgdapRqYWNr7iPGFSsiJqq46S7PYRE0/edit?usp=share_link"",""ระนอง!I825"")+IMPORTRANGE(""https"&amp;"://docs.google.com/spreadsheets/d/16o_4B-V7AWw_6E93bSpXj_XxVv1oVQctk-B6z1dNEWU/edit?usp=share_link"",""สงขลา!I825"")+IMPORTRANGE(""https://docs.google.com/spreadsheets/d/16cywr71Fj4fA5OGRHsZh30ZG2gwJhMAQv69oVBzYHv0/edit?usp=share_link"",""สตูล!I825"")+IMP"&amp;"ORTRANGE(""https://docs.google.com/spreadsheets/d/1vO9Sws6kMtrVtyvrAJptINXjK8TFBoX9xLYOVK_C8bQ/edit?usp=share_link"",""สุราษฎร์ธานี!I825"")"),449833.47)</f>
        <v>449833.47</v>
      </c>
      <c r="J825" s="36">
        <f ca="1">IFERROR(__xludf.DUMMYFUNCTION("IMPORTRANGE(""https://docs.google.com/spreadsheets/d/1kC41EOXpGBFOW658Fs3oD8beYlym0-zO54WY-2Qnp9I/edit?usp=share_link"",""กระบี่!J825"")
+IMPORTRANGE(""https://docs.google.com/spreadsheets/d/1FbzMZY_f3MDiEuK7RpCQKrilJ_kpX0Wm7QBZ1L7EjIU/edit?usp=share_link"&amp;""",""ชุมพร!J825"")+IMPORTRANGE(""https://docs.google.com/spreadsheets/d/1v5sN-00LrXuhBxw4dkh2GrG_z4l5oAqOdJRBCsUyMaM/edit?usp=share_link"",""ตรัง!J825"")+IMPORTRANGE(""https://docs.google.com/spreadsheets/d/1T5rRTzFc79aSIvqnzkZNvwPstq829QYz_xALlO1Z0s8/edi"&amp;"t?usp=share_link"",""นครศรีธรรมราช!J825"")+IMPORTRANGE(""https://docs.google.com/spreadsheets/d/1BeghqumK0IvCmRd2QOy6_afsZq7ZtAGrSnVJy2u7WmY/edit?usp=share_link"",""นราธิวาส!J825"")+IMPORTRANGE(""https://docs.google.com/spreadsheets/d/1IwnW3-jjRf74MCLW-6P"&amp;"iFwMUffRQXZwZA7YM609NmRc/edit?usp=share_link"",""ปัตตานี!J825"")+IMPORTRANGE(""https://docs.google.com/spreadsheets/d/1vl4QWbWdFruual5o_wdo6ZSqXZ_it806oja4CctTLKs/edit?usp=share_link"",""พังงา!J825"")+IMPORTRANGE(""https://docs.google.com/spreadsheets/d/1"&amp;"b6QssHQp2FoAPSMKHOy273KNzAomaIKhtdlvuZ_zDNE/edit?usp=share_link"",""พัทลุง!J825"")+IMPORTRANGE(""https://docs.google.com/spreadsheets/d/1o7UZe4_OqlqtLDHrj01Z2YFRSZDf1DMy1n3XViHaxRc/edit?usp=share_link"",""ภูเก็ต!J825"")+IMPORTRANGE(""https://docs.google.c"&amp;"om/spreadsheets/d/1ctPm1vUzcUCPuOj9-eoHUD85PqINFqUB0TjdSWmR5-c/edit?usp=share_link"",""ยะลา!J825"")+IMPORTRANGE(""https://docs.google.com/spreadsheets/d/1YiDIE7Klmt8osgdapRqYWNr7iPGFSsiJqq46S7PYRE0/edit?usp=share_link"",""ระนอง!J825"")+IMPORTRANGE(""https"&amp;"://docs.google.com/spreadsheets/d/16o_4B-V7AWw_6E93bSpXj_XxVv1oVQctk-B6z1dNEWU/edit?usp=share_link"",""สงขลา!J825"")+IMPORTRANGE(""https://docs.google.com/spreadsheets/d/16cywr71Fj4fA5OGRHsZh30ZG2gwJhMAQv69oVBzYHv0/edit?usp=share_link"",""สตูล!J825"")+IMP"&amp;"ORTRANGE(""https://docs.google.com/spreadsheets/d/1vO9Sws6kMtrVtyvrAJptINXjK8TFBoX9xLYOVK_C8bQ/edit?usp=share_link"",""สุราษฎร์ธานี!J825"")"),524728.66)</f>
        <v>524728.66</v>
      </c>
      <c r="K825" s="37">
        <f t="shared" ca="1" si="379"/>
        <v>116.64953699421255</v>
      </c>
      <c r="L825" s="37"/>
      <c r="M825" s="37"/>
      <c r="N825" s="37"/>
      <c r="O825" s="37"/>
      <c r="P825" s="37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20.25" customHeight="1">
      <c r="A826" s="743"/>
      <c r="B826" s="575"/>
      <c r="C826" s="575"/>
      <c r="D826" s="574"/>
      <c r="E826" s="575"/>
      <c r="F826" s="575"/>
      <c r="G826" s="188"/>
      <c r="H826" s="35" t="s">
        <v>35</v>
      </c>
      <c r="I826" s="36">
        <f ca="1">IFERROR(__xludf.DUMMYFUNCTION("IMPORTRANGE(""https://docs.google.com/spreadsheets/d/1kC41EOXpGBFOW658Fs3oD8beYlym0-zO54WY-2Qnp9I/edit?usp=share_link"",""กระบี่!I826"")
+IMPORTRANGE(""https://docs.google.com/spreadsheets/d/1FbzMZY_f3MDiEuK7RpCQKrilJ_kpX0Wm7QBZ1L7EjIU/edit?usp=share_link"&amp;""",""ชุมพร!I826"")+IMPORTRANGE(""https://docs.google.com/spreadsheets/d/1v5sN-00LrXuhBxw4dkh2GrG_z4l5oAqOdJRBCsUyMaM/edit?usp=share_link"",""ตรัง!I826"")+IMPORTRANGE(""https://docs.google.com/spreadsheets/d/1T5rRTzFc79aSIvqnzkZNvwPstq829QYz_xALlO1Z0s8/edi"&amp;"t?usp=share_link"",""นครศรีธรรมราช!I826"")+IMPORTRANGE(""https://docs.google.com/spreadsheets/d/1BeghqumK0IvCmRd2QOy6_afsZq7ZtAGrSnVJy2u7WmY/edit?usp=share_link"",""นราธิวาส!I826"")+IMPORTRANGE(""https://docs.google.com/spreadsheets/d/1IwnW3-jjRf74MCLW-6P"&amp;"iFwMUffRQXZwZA7YM609NmRc/edit?usp=share_link"",""ปัตตานี!I826"")+IMPORTRANGE(""https://docs.google.com/spreadsheets/d/1vl4QWbWdFruual5o_wdo6ZSqXZ_it806oja4CctTLKs/edit?usp=share_link"",""พังงา!I826"")+IMPORTRANGE(""https://docs.google.com/spreadsheets/d/1"&amp;"b6QssHQp2FoAPSMKHOy273KNzAomaIKhtdlvuZ_zDNE/edit?usp=share_link"",""พัทลุง!I826"")+IMPORTRANGE(""https://docs.google.com/spreadsheets/d/1o7UZe4_OqlqtLDHrj01Z2YFRSZDf1DMy1n3XViHaxRc/edit?usp=share_link"",""ภูเก็ต!I826"")+IMPORTRANGE(""https://docs.google.c"&amp;"om/spreadsheets/d/1ctPm1vUzcUCPuOj9-eoHUD85PqINFqUB0TjdSWmR5-c/edit?usp=share_link"",""ยะลา!I826"")+IMPORTRANGE(""https://docs.google.com/spreadsheets/d/1YiDIE7Klmt8osgdapRqYWNr7iPGFSsiJqq46S7PYRE0/edit?usp=share_link"",""ระนอง!I826"")+IMPORTRANGE(""https"&amp;"://docs.google.com/spreadsheets/d/16o_4B-V7AWw_6E93bSpXj_XxVv1oVQctk-B6z1dNEWU/edit?usp=share_link"",""สงขลา!I826"")+IMPORTRANGE(""https://docs.google.com/spreadsheets/d/16cywr71Fj4fA5OGRHsZh30ZG2gwJhMAQv69oVBzYHv0/edit?usp=share_link"",""สตูล!I826"")+IMP"&amp;"ORTRANGE(""https://docs.google.com/spreadsheets/d/1vO9Sws6kMtrVtyvrAJptINXjK8TFBoX9xLYOVK_C8bQ/edit?usp=share_link"",""สุราษฎร์ธานี!I826"")"),574)</f>
        <v>574</v>
      </c>
      <c r="J826" s="36">
        <f ca="1">IFERROR(__xludf.DUMMYFUNCTION("IMPORTRANGE(""https://docs.google.com/spreadsheets/d/1kC41EOXpGBFOW658Fs3oD8beYlym0-zO54WY-2Qnp9I/edit?usp=share_link"",""กระบี่!J826"")
+IMPORTRANGE(""https://docs.google.com/spreadsheets/d/1FbzMZY_f3MDiEuK7RpCQKrilJ_kpX0Wm7QBZ1L7EjIU/edit?usp=share_link"&amp;""",""ชุมพร!J826"")+IMPORTRANGE(""https://docs.google.com/spreadsheets/d/1v5sN-00LrXuhBxw4dkh2GrG_z4l5oAqOdJRBCsUyMaM/edit?usp=share_link"",""ตรัง!J826"")+IMPORTRANGE(""https://docs.google.com/spreadsheets/d/1T5rRTzFc79aSIvqnzkZNvwPstq829QYz_xALlO1Z0s8/edi"&amp;"t?usp=share_link"",""นครศรีธรรมราช!J826"")+IMPORTRANGE(""https://docs.google.com/spreadsheets/d/1BeghqumK0IvCmRd2QOy6_afsZq7ZtAGrSnVJy2u7WmY/edit?usp=share_link"",""นราธิวาส!J826"")+IMPORTRANGE(""https://docs.google.com/spreadsheets/d/1IwnW3-jjRf74MCLW-6P"&amp;"iFwMUffRQXZwZA7YM609NmRc/edit?usp=share_link"",""ปัตตานี!J826"")+IMPORTRANGE(""https://docs.google.com/spreadsheets/d/1vl4QWbWdFruual5o_wdo6ZSqXZ_it806oja4CctTLKs/edit?usp=share_link"",""พังงา!J826"")+IMPORTRANGE(""https://docs.google.com/spreadsheets/d/1"&amp;"b6QssHQp2FoAPSMKHOy273KNzAomaIKhtdlvuZ_zDNE/edit?usp=share_link"",""พัทลุง!J826"")+IMPORTRANGE(""https://docs.google.com/spreadsheets/d/1o7UZe4_OqlqtLDHrj01Z2YFRSZDf1DMy1n3XViHaxRc/edit?usp=share_link"",""ภูเก็ต!J826"")+IMPORTRANGE(""https://docs.google.c"&amp;"om/spreadsheets/d/1ctPm1vUzcUCPuOj9-eoHUD85PqINFqUB0TjdSWmR5-c/edit?usp=share_link"",""ยะลา!J826"")+IMPORTRANGE(""https://docs.google.com/spreadsheets/d/1YiDIE7Klmt8osgdapRqYWNr7iPGFSsiJqq46S7PYRE0/edit?usp=share_link"",""ระนอง!J826"")+IMPORTRANGE(""https"&amp;"://docs.google.com/spreadsheets/d/16o_4B-V7AWw_6E93bSpXj_XxVv1oVQctk-B6z1dNEWU/edit?usp=share_link"",""สงขลา!J826"")+IMPORTRANGE(""https://docs.google.com/spreadsheets/d/16cywr71Fj4fA5OGRHsZh30ZG2gwJhMAQv69oVBzYHv0/edit?usp=share_link"",""สตูล!J826"")+IMP"&amp;"ORTRANGE(""https://docs.google.com/spreadsheets/d/1vO9Sws6kMtrVtyvrAJptINXjK8TFBoX9xLYOVK_C8bQ/edit?usp=share_link"",""สุราษฎร์ธานี!J826"")"),542)</f>
        <v>542</v>
      </c>
      <c r="K826" s="37">
        <f t="shared" ca="1" si="379"/>
        <v>94.42508710801394</v>
      </c>
      <c r="L826" s="37"/>
      <c r="M826" s="37"/>
      <c r="N826" s="37"/>
      <c r="O826" s="37"/>
      <c r="P826" s="37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20.25" customHeight="1">
      <c r="A827" s="743"/>
      <c r="B827" s="576" t="s">
        <v>328</v>
      </c>
      <c r="C827" s="575"/>
      <c r="D827" s="574"/>
      <c r="E827" s="575"/>
      <c r="F827" s="575"/>
      <c r="G827" s="188"/>
      <c r="H827" s="35" t="s">
        <v>12</v>
      </c>
      <c r="I827" s="36">
        <f ca="1">IFERROR(__xludf.DUMMYFUNCTION("IMPORTRANGE(""https://docs.google.com/spreadsheets/d/1kC41EOXpGBFOW658Fs3oD8beYlym0-zO54WY-2Qnp9I/edit?usp=share_link"",""กระบี่!I827"")
+IMPORTRANGE(""https://docs.google.com/spreadsheets/d/1FbzMZY_f3MDiEuK7RpCQKrilJ_kpX0Wm7QBZ1L7EjIU/edit?usp=share_link"&amp;""",""ชุมพร!I827"")+IMPORTRANGE(""https://docs.google.com/spreadsheets/d/1v5sN-00LrXuhBxw4dkh2GrG_z4l5oAqOdJRBCsUyMaM/edit?usp=share_link"",""ตรัง!I827"")+IMPORTRANGE(""https://docs.google.com/spreadsheets/d/1T5rRTzFc79aSIvqnzkZNvwPstq829QYz_xALlO1Z0s8/edi"&amp;"t?usp=share_link"",""นครศรีธรรมราช!I827"")+IMPORTRANGE(""https://docs.google.com/spreadsheets/d/1BeghqumK0IvCmRd2QOy6_afsZq7ZtAGrSnVJy2u7WmY/edit?usp=share_link"",""นราธิวาส!I827"")+IMPORTRANGE(""https://docs.google.com/spreadsheets/d/1IwnW3-jjRf74MCLW-6P"&amp;"iFwMUffRQXZwZA7YM609NmRc/edit?usp=share_link"",""ปัตตานี!I827"")+IMPORTRANGE(""https://docs.google.com/spreadsheets/d/1vl4QWbWdFruual5o_wdo6ZSqXZ_it806oja4CctTLKs/edit?usp=share_link"",""พังงา!I827"")+IMPORTRANGE(""https://docs.google.com/spreadsheets/d/1"&amp;"b6QssHQp2FoAPSMKHOy273KNzAomaIKhtdlvuZ_zDNE/edit?usp=share_link"",""พัทลุง!I827"")+IMPORTRANGE(""https://docs.google.com/spreadsheets/d/1o7UZe4_OqlqtLDHrj01Z2YFRSZDf1DMy1n3XViHaxRc/edit?usp=share_link"",""ภูเก็ต!I827"")+IMPORTRANGE(""https://docs.google.c"&amp;"om/spreadsheets/d/1ctPm1vUzcUCPuOj9-eoHUD85PqINFqUB0TjdSWmR5-c/edit?usp=share_link"",""ยะลา!I827"")+IMPORTRANGE(""https://docs.google.com/spreadsheets/d/1YiDIE7Klmt8osgdapRqYWNr7iPGFSsiJqq46S7PYRE0/edit?usp=share_link"",""ระนอง!I827"")+IMPORTRANGE(""https"&amp;"://docs.google.com/spreadsheets/d/16o_4B-V7AWw_6E93bSpXj_XxVv1oVQctk-B6z1dNEWU/edit?usp=share_link"",""สงขลา!I827"")+IMPORTRANGE(""https://docs.google.com/spreadsheets/d/16cywr71Fj4fA5OGRHsZh30ZG2gwJhMAQv69oVBzYHv0/edit?usp=share_link"",""สตูล!I827"")+IMP"&amp;"ORTRANGE(""https://docs.google.com/spreadsheets/d/1vO9Sws6kMtrVtyvrAJptINXjK8TFBoX9xLYOVK_C8bQ/edit?usp=share_link"",""สุราษฎร์ธานี!I827"")"),14105000)</f>
        <v>14105000</v>
      </c>
      <c r="J827" s="36">
        <f ca="1">IFERROR(__xludf.DUMMYFUNCTION("IMPORTRANGE(""https://docs.google.com/spreadsheets/d/1kC41EOXpGBFOW658Fs3oD8beYlym0-zO54WY-2Qnp9I/edit?usp=share_link"",""กระบี่!J827"")
+IMPORTRANGE(""https://docs.google.com/spreadsheets/d/1FbzMZY_f3MDiEuK7RpCQKrilJ_kpX0Wm7QBZ1L7EjIU/edit?usp=share_link"&amp;""",""ชุมพร!J827"")+IMPORTRANGE(""https://docs.google.com/spreadsheets/d/1v5sN-00LrXuhBxw4dkh2GrG_z4l5oAqOdJRBCsUyMaM/edit?usp=share_link"",""ตรัง!J827"")+IMPORTRANGE(""https://docs.google.com/spreadsheets/d/1T5rRTzFc79aSIvqnzkZNvwPstq829QYz_xALlO1Z0s8/edi"&amp;"t?usp=share_link"",""นครศรีธรรมราช!J827"")+IMPORTRANGE(""https://docs.google.com/spreadsheets/d/1BeghqumK0IvCmRd2QOy6_afsZq7ZtAGrSnVJy2u7WmY/edit?usp=share_link"",""นราธิวาส!J827"")+IMPORTRANGE(""https://docs.google.com/spreadsheets/d/1IwnW3-jjRf74MCLW-6P"&amp;"iFwMUffRQXZwZA7YM609NmRc/edit?usp=share_link"",""ปัตตานี!J827"")+IMPORTRANGE(""https://docs.google.com/spreadsheets/d/1vl4QWbWdFruual5o_wdo6ZSqXZ_it806oja4CctTLKs/edit?usp=share_link"",""พังงา!J827"")+IMPORTRANGE(""https://docs.google.com/spreadsheets/d/1"&amp;"b6QssHQp2FoAPSMKHOy273KNzAomaIKhtdlvuZ_zDNE/edit?usp=share_link"",""พัทลุง!J827"")+IMPORTRANGE(""https://docs.google.com/spreadsheets/d/1o7UZe4_OqlqtLDHrj01Z2YFRSZDf1DMy1n3XViHaxRc/edit?usp=share_link"",""ภูเก็ต!J827"")+IMPORTRANGE(""https://docs.google.c"&amp;"om/spreadsheets/d/1ctPm1vUzcUCPuOj9-eoHUD85PqINFqUB0TjdSWmR5-c/edit?usp=share_link"",""ยะลา!J827"")+IMPORTRANGE(""https://docs.google.com/spreadsheets/d/1YiDIE7Klmt8osgdapRqYWNr7iPGFSsiJqq46S7PYRE0/edit?usp=share_link"",""ระนอง!J827"")+IMPORTRANGE(""https"&amp;"://docs.google.com/spreadsheets/d/16o_4B-V7AWw_6E93bSpXj_XxVv1oVQctk-B6z1dNEWU/edit?usp=share_link"",""สงขลา!J827"")+IMPORTRANGE(""https://docs.google.com/spreadsheets/d/16cywr71Fj4fA5OGRHsZh30ZG2gwJhMAQv69oVBzYHv0/edit?usp=share_link"",""สตูล!J827"")+IMP"&amp;"ORTRANGE(""https://docs.google.com/spreadsheets/d/1vO9Sws6kMtrVtyvrAJptINXjK8TFBoX9xLYOVK_C8bQ/edit?usp=share_link"",""สุราษฎร์ธานี!J827"")"),15770000)</f>
        <v>15770000</v>
      </c>
      <c r="K827" s="37">
        <f t="shared" ca="1" si="379"/>
        <v>111.80432470755052</v>
      </c>
      <c r="L827" s="37"/>
      <c r="M827" s="37"/>
      <c r="N827" s="37"/>
      <c r="O827" s="37"/>
      <c r="P827" s="37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20.25" customHeight="1">
      <c r="A828" s="827"/>
      <c r="B828" s="748"/>
      <c r="C828" s="748"/>
      <c r="D828" s="747"/>
      <c r="E828" s="748"/>
      <c r="F828" s="748"/>
      <c r="G828" s="828"/>
      <c r="H828" s="829" t="s">
        <v>35</v>
      </c>
      <c r="I828" s="505">
        <f ca="1">IFERROR(__xludf.DUMMYFUNCTION("IMPORTRANGE(""https://docs.google.com/spreadsheets/d/1kC41EOXpGBFOW658Fs3oD8beYlym0-zO54WY-2Qnp9I/edit?usp=share_link"",""กระบี่!I828"")
+IMPORTRANGE(""https://docs.google.com/spreadsheets/d/1FbzMZY_f3MDiEuK7RpCQKrilJ_kpX0Wm7QBZ1L7EjIU/edit?usp=share_link"&amp;""",""ชุมพร!I828"")+IMPORTRANGE(""https://docs.google.com/spreadsheets/d/1v5sN-00LrXuhBxw4dkh2GrG_z4l5oAqOdJRBCsUyMaM/edit?usp=share_link"",""ตรัง!I828"")+IMPORTRANGE(""https://docs.google.com/spreadsheets/d/1T5rRTzFc79aSIvqnzkZNvwPstq829QYz_xALlO1Z0s8/edi"&amp;"t?usp=share_link"",""นครศรีธรรมราช!I828"")+IMPORTRANGE(""https://docs.google.com/spreadsheets/d/1BeghqumK0IvCmRd2QOy6_afsZq7ZtAGrSnVJy2u7WmY/edit?usp=share_link"",""นราธิวาส!I828"")+IMPORTRANGE(""https://docs.google.com/spreadsheets/d/1IwnW3-jjRf74MCLW-6P"&amp;"iFwMUffRQXZwZA7YM609NmRc/edit?usp=share_link"",""ปัตตานี!I828"")+IMPORTRANGE(""https://docs.google.com/spreadsheets/d/1vl4QWbWdFruual5o_wdo6ZSqXZ_it806oja4CctTLKs/edit?usp=share_link"",""พังงา!I828"")+IMPORTRANGE(""https://docs.google.com/spreadsheets/d/1"&amp;"b6QssHQp2FoAPSMKHOy273KNzAomaIKhtdlvuZ_zDNE/edit?usp=share_link"",""พัทลุง!I828"")+IMPORTRANGE(""https://docs.google.com/spreadsheets/d/1o7UZe4_OqlqtLDHrj01Z2YFRSZDf1DMy1n3XViHaxRc/edit?usp=share_link"",""ภูเก็ต!I828"")+IMPORTRANGE(""https://docs.google.c"&amp;"om/spreadsheets/d/1ctPm1vUzcUCPuOj9-eoHUD85PqINFqUB0TjdSWmR5-c/edit?usp=share_link"",""ยะลา!I828"")+IMPORTRANGE(""https://docs.google.com/spreadsheets/d/1YiDIE7Klmt8osgdapRqYWNr7iPGFSsiJqq46S7PYRE0/edit?usp=share_link"",""ระนอง!I828"")+IMPORTRANGE(""https"&amp;"://docs.google.com/spreadsheets/d/16o_4B-V7AWw_6E93bSpXj_XxVv1oVQctk-B6z1dNEWU/edit?usp=share_link"",""สงขลา!I828"")+IMPORTRANGE(""https://docs.google.com/spreadsheets/d/16cywr71Fj4fA5OGRHsZh30ZG2gwJhMAQv69oVBzYHv0/edit?usp=share_link"",""สตูล!I828"")+IMP"&amp;"ORTRANGE(""https://docs.google.com/spreadsheets/d/1vO9Sws6kMtrVtyvrAJptINXjK8TFBoX9xLYOVK_C8bQ/edit?usp=share_link"",""สุราษฎร์ธานี!I828"")"),549)</f>
        <v>549</v>
      </c>
      <c r="J828" s="505">
        <f ca="1">IFERROR(__xludf.DUMMYFUNCTION("IMPORTRANGE(""https://docs.google.com/spreadsheets/d/1kC41EOXpGBFOW658Fs3oD8beYlym0-zO54WY-2Qnp9I/edit?usp=share_link"",""กระบี่!J828"")
+IMPORTRANGE(""https://docs.google.com/spreadsheets/d/1FbzMZY_f3MDiEuK7RpCQKrilJ_kpX0Wm7QBZ1L7EjIU/edit?usp=share_link"&amp;""",""ชุมพร!J828"")+IMPORTRANGE(""https://docs.google.com/spreadsheets/d/1v5sN-00LrXuhBxw4dkh2GrG_z4l5oAqOdJRBCsUyMaM/edit?usp=share_link"",""ตรัง!J828"")+IMPORTRANGE(""https://docs.google.com/spreadsheets/d/1T5rRTzFc79aSIvqnzkZNvwPstq829QYz_xALlO1Z0s8/edi"&amp;"t?usp=share_link"",""นครศรีธรรมราช!J828"")+IMPORTRANGE(""https://docs.google.com/spreadsheets/d/1BeghqumK0IvCmRd2QOy6_afsZq7ZtAGrSnVJy2u7WmY/edit?usp=share_link"",""นราธิวาส!J828"")+IMPORTRANGE(""https://docs.google.com/spreadsheets/d/1IwnW3-jjRf74MCLW-6P"&amp;"iFwMUffRQXZwZA7YM609NmRc/edit?usp=share_link"",""ปัตตานี!J828"")+IMPORTRANGE(""https://docs.google.com/spreadsheets/d/1vl4QWbWdFruual5o_wdo6ZSqXZ_it806oja4CctTLKs/edit?usp=share_link"",""พังงา!J828"")+IMPORTRANGE(""https://docs.google.com/spreadsheets/d/1"&amp;"b6QssHQp2FoAPSMKHOy273KNzAomaIKhtdlvuZ_zDNE/edit?usp=share_link"",""พัทลุง!J828"")+IMPORTRANGE(""https://docs.google.com/spreadsheets/d/1o7UZe4_OqlqtLDHrj01Z2YFRSZDf1DMy1n3XViHaxRc/edit?usp=share_link"",""ภูเก็ต!J828"")+IMPORTRANGE(""https://docs.google.c"&amp;"om/spreadsheets/d/1ctPm1vUzcUCPuOj9-eoHUD85PqINFqUB0TjdSWmR5-c/edit?usp=share_link"",""ยะลา!J828"")+IMPORTRANGE(""https://docs.google.com/spreadsheets/d/1YiDIE7Klmt8osgdapRqYWNr7iPGFSsiJqq46S7PYRE0/edit?usp=share_link"",""ระนอง!J828"")+IMPORTRANGE(""https"&amp;"://docs.google.com/spreadsheets/d/16o_4B-V7AWw_6E93bSpXj_XxVv1oVQctk-B6z1dNEWU/edit?usp=share_link"",""สงขลา!J828"")+IMPORTRANGE(""https://docs.google.com/spreadsheets/d/16cywr71Fj4fA5OGRHsZh30ZG2gwJhMAQv69oVBzYHv0/edit?usp=share_link"",""สตูล!J828"")+IMP"&amp;"ORTRANGE(""https://docs.google.com/spreadsheets/d/1vO9Sws6kMtrVtyvrAJptINXjK8TFBoX9xLYOVK_C8bQ/edit?usp=share_link"",""สุราษฎร์ธานี!J828"")"),461)</f>
        <v>461</v>
      </c>
      <c r="K828" s="506">
        <f t="shared" ca="1" si="379"/>
        <v>83.970856102003637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</mergeCells>
  <printOptions horizontalCentered="1" gridLines="1"/>
  <pageMargins left="0.23622047244094491" right="0.23622047244094491" top="0.55118110236220474" bottom="0.55118110236220474" header="0" footer="0"/>
  <pageSetup paperSize="9" scale="38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B70F8-B220-491B-A392-A3147E31CAB7}">
  <sheetPr>
    <outlinePr summaryBelow="0" summaryRight="0"/>
    <pageSetUpPr fitToPage="1"/>
  </sheetPr>
  <dimension ref="A1:Z828"/>
  <sheetViews>
    <sheetView view="pageBreakPreview" zoomScale="50" zoomScaleNormal="10" zoomScaleSheetLayoutView="50" workbookViewId="0">
      <pane ySplit="6" topLeftCell="A7" activePane="bottomLeft" state="frozen"/>
      <selection activeCell="X18" sqref="X18:X21"/>
      <selection pane="bottomLeft" activeCell="X18" sqref="X18:X2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7109375" bestFit="1" customWidth="1"/>
    <col min="11" max="11" width="13" bestFit="1" customWidth="1"/>
    <col min="12" max="14" width="22.140625" bestFit="1" customWidth="1"/>
    <col min="15" max="15" width="20.140625" bestFit="1" customWidth="1"/>
    <col min="16" max="16" width="22" bestFit="1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348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354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4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2184928</v>
      </c>
      <c r="M8" s="21">
        <f ca="1">M9+M10</f>
        <v>2426387.7400000002</v>
      </c>
      <c r="N8" s="21">
        <f ca="1">N9+N10</f>
        <v>2426387.7400000002</v>
      </c>
      <c r="O8" s="21">
        <f t="shared" ref="O8:O16" ca="1" si="0">IF(L8&gt;0,N8*100/L8,0)</f>
        <v>111.05115317301075</v>
      </c>
      <c r="P8" s="21">
        <f t="shared" ref="P8:P16" ca="1" si="1">IF(M8&gt;0,N8*100/M8,0)</f>
        <v>100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2184928</v>
      </c>
      <c r="M10" s="29">
        <f t="shared" ca="1" si="2"/>
        <v>2426387.7400000002</v>
      </c>
      <c r="N10" s="29">
        <f t="shared" ca="1" si="2"/>
        <v>2426387.7400000002</v>
      </c>
      <c r="O10" s="29">
        <f t="shared" ca="1" si="0"/>
        <v>111.05115317301075</v>
      </c>
      <c r="P10" s="29">
        <f t="shared" ca="1" si="1"/>
        <v>100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22" t="s">
        <v>12</v>
      </c>
      <c r="I11" s="269"/>
      <c r="J11" s="269"/>
      <c r="K11" s="497"/>
      <c r="L11" s="497">
        <f ca="1">L12+L13</f>
        <v>2071128</v>
      </c>
      <c r="M11" s="497">
        <f ca="1">M12+M13</f>
        <v>2312787.7400000002</v>
      </c>
      <c r="N11" s="497">
        <f ca="1">N12+N13</f>
        <v>2312787.7400000002</v>
      </c>
      <c r="O11" s="497">
        <f t="shared" ca="1" si="0"/>
        <v>111.66802534657444</v>
      </c>
      <c r="P11" s="497">
        <f t="shared" ca="1" si="1"/>
        <v>100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6"/>
      <c r="J12" s="616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6"/>
      <c r="J13" s="616"/>
      <c r="K13" s="92"/>
      <c r="L13" s="92">
        <f t="shared" ca="1" si="3"/>
        <v>2071128</v>
      </c>
      <c r="M13" s="92">
        <f t="shared" ca="1" si="3"/>
        <v>2312787.7400000002</v>
      </c>
      <c r="N13" s="92">
        <f t="shared" ca="1" si="3"/>
        <v>2312787.7400000002</v>
      </c>
      <c r="O13" s="92">
        <f t="shared" ca="1" si="0"/>
        <v>111.66802534657444</v>
      </c>
      <c r="P13" s="92">
        <f t="shared" ca="1" si="1"/>
        <v>100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22" t="s">
        <v>12</v>
      </c>
      <c r="I14" s="269"/>
      <c r="J14" s="269"/>
      <c r="K14" s="497"/>
      <c r="L14" s="497">
        <f ca="1">L15+L16</f>
        <v>113800</v>
      </c>
      <c r="M14" s="497">
        <f ca="1">M15+M16</f>
        <v>113600</v>
      </c>
      <c r="N14" s="497">
        <f ca="1">N15+N16</f>
        <v>113600</v>
      </c>
      <c r="O14" s="497">
        <f t="shared" ca="1" si="0"/>
        <v>99.824253075571178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6"/>
      <c r="J15" s="616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113800</v>
      </c>
      <c r="M16" s="51">
        <f t="shared" ca="1" si="4"/>
        <v>113600</v>
      </c>
      <c r="N16" s="51">
        <f t="shared" ca="1" si="4"/>
        <v>113600</v>
      </c>
      <c r="O16" s="51">
        <f t="shared" ca="1" si="0"/>
        <v>99.824253075571178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1847225</v>
      </c>
      <c r="M18" s="21">
        <f ca="1">M19+M20</f>
        <v>2075504.74</v>
      </c>
      <c r="N18" s="21">
        <f ca="1">N19+N20</f>
        <v>2075504.74</v>
      </c>
      <c r="O18" s="21">
        <f t="shared" ref="O18:O26" ca="1" si="5">IF(L18&gt;0,N18*100/L18,0)</f>
        <v>112.35798237897387</v>
      </c>
      <c r="P18" s="21">
        <f t="shared" ref="P18:P26" ca="1" si="6">IF(M18&gt;0,N18*100/M18,0)</f>
        <v>100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1847225</v>
      </c>
      <c r="M20" s="29">
        <f t="shared" ca="1" si="7"/>
        <v>2075504.74</v>
      </c>
      <c r="N20" s="29">
        <f t="shared" ca="1" si="7"/>
        <v>2075504.74</v>
      </c>
      <c r="O20" s="29">
        <f t="shared" ca="1" si="5"/>
        <v>112.35798237897387</v>
      </c>
      <c r="P20" s="29">
        <f t="shared" ca="1" si="6"/>
        <v>100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22" t="s">
        <v>12</v>
      </c>
      <c r="I21" s="269"/>
      <c r="J21" s="269"/>
      <c r="K21" s="497"/>
      <c r="L21" s="497">
        <f ca="1">L22+L23</f>
        <v>1733425</v>
      </c>
      <c r="M21" s="497">
        <f ca="1">M22+M23</f>
        <v>1961904.74</v>
      </c>
      <c r="N21" s="497">
        <f ca="1">N22+N23</f>
        <v>1961904.74</v>
      </c>
      <c r="O21" s="497">
        <f t="shared" ca="1" si="5"/>
        <v>113.18082639860393</v>
      </c>
      <c r="P21" s="497">
        <f t="shared" ca="1" si="6"/>
        <v>100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6"/>
      <c r="J22" s="616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6"/>
      <c r="J23" s="616"/>
      <c r="K23" s="92"/>
      <c r="L23" s="92">
        <f t="shared" ca="1" si="8"/>
        <v>1733425</v>
      </c>
      <c r="M23" s="92">
        <f t="shared" ca="1" si="8"/>
        <v>1961904.74</v>
      </c>
      <c r="N23" s="92">
        <f t="shared" ca="1" si="8"/>
        <v>1961904.74</v>
      </c>
      <c r="O23" s="92">
        <f t="shared" ca="1" si="5"/>
        <v>113.18082639860393</v>
      </c>
      <c r="P23" s="92">
        <f t="shared" ca="1" si="6"/>
        <v>100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22" t="s">
        <v>12</v>
      </c>
      <c r="I24" s="269"/>
      <c r="J24" s="269"/>
      <c r="K24" s="497"/>
      <c r="L24" s="497">
        <f ca="1">L25+L26</f>
        <v>113800</v>
      </c>
      <c r="M24" s="497">
        <f ca="1">M25+M26</f>
        <v>113600</v>
      </c>
      <c r="N24" s="497">
        <f ca="1">N25+N26</f>
        <v>113600</v>
      </c>
      <c r="O24" s="497">
        <f t="shared" ca="1" si="5"/>
        <v>99.824253075571178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6"/>
      <c r="J25" s="616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113800</v>
      </c>
      <c r="M26" s="51">
        <f t="shared" ca="1" si="9"/>
        <v>113600</v>
      </c>
      <c r="N26" s="51">
        <f t="shared" ca="1" si="9"/>
        <v>113600</v>
      </c>
      <c r="O26" s="51">
        <f t="shared" ca="1" si="5"/>
        <v>99.824253075571178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337703</v>
      </c>
      <c r="M28" s="21">
        <f ca="1">M29+M30</f>
        <v>350883</v>
      </c>
      <c r="N28" s="21">
        <f>N29+N30</f>
        <v>350883</v>
      </c>
      <c r="O28" s="21">
        <f t="shared" ref="O28:O37" ca="1" si="10">IF(L28&gt;0,N28*100/L28,0)</f>
        <v>103.90283770058306</v>
      </c>
      <c r="P28" s="21">
        <f t="shared" ref="P28:P37" ca="1" si="11">IF(M28&gt;0,N28*100/M28,0)</f>
        <v>100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337703</v>
      </c>
      <c r="M30" s="29">
        <f t="shared" ca="1" si="12"/>
        <v>350883</v>
      </c>
      <c r="N30" s="29">
        <f t="shared" si="12"/>
        <v>350883</v>
      </c>
      <c r="O30" s="29">
        <f t="shared" ca="1" si="10"/>
        <v>103.90283770058306</v>
      </c>
      <c r="P30" s="29">
        <f t="shared" ca="1" si="11"/>
        <v>100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22" t="s">
        <v>12</v>
      </c>
      <c r="I31" s="269"/>
      <c r="J31" s="269"/>
      <c r="K31" s="497"/>
      <c r="L31" s="497">
        <f ca="1">L32+L33</f>
        <v>337703</v>
      </c>
      <c r="M31" s="497">
        <f ca="1">M32+M33</f>
        <v>350883</v>
      </c>
      <c r="N31" s="497">
        <f>N32+N33</f>
        <v>350883</v>
      </c>
      <c r="O31" s="497">
        <f t="shared" ca="1" si="10"/>
        <v>103.90283770058306</v>
      </c>
      <c r="P31" s="497">
        <f t="shared" ca="1" si="11"/>
        <v>100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6"/>
      <c r="J32" s="616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6"/>
      <c r="J33" s="616"/>
      <c r="K33" s="92"/>
      <c r="L33" s="92">
        <f t="shared" ca="1" si="13"/>
        <v>337703</v>
      </c>
      <c r="M33" s="92">
        <f t="shared" ca="1" si="13"/>
        <v>350883</v>
      </c>
      <c r="N33" s="92">
        <f t="shared" si="13"/>
        <v>350883</v>
      </c>
      <c r="O33" s="92">
        <f t="shared" ca="1" si="10"/>
        <v>103.90283770058306</v>
      </c>
      <c r="P33" s="92">
        <f t="shared" ca="1" si="11"/>
        <v>100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22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6"/>
      <c r="J35" s="616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868" t="s">
        <v>24</v>
      </c>
      <c r="B37" s="867"/>
      <c r="C37" s="867"/>
      <c r="D37" s="867"/>
      <c r="E37" s="867"/>
      <c r="F37" s="867"/>
      <c r="G37" s="866"/>
      <c r="H37" s="865"/>
      <c r="I37" s="864"/>
      <c r="J37" s="864"/>
      <c r="K37" s="863"/>
      <c r="L37" s="862">
        <f ca="1">L41+L53+L66+L88+L119+L132+L149+L165+L181+L261+L277+L298+L315+L328+L345+L389+L402</f>
        <v>1847225</v>
      </c>
      <c r="M37" s="862">
        <f ca="1">M41+M53+M66+M88+M119+M132+M149+M165+M181+M261+M277+M298+M315+M328+M345+M389+M402</f>
        <v>2075504.74</v>
      </c>
      <c r="N37" s="862">
        <f ca="1">N41+N53+N66+N88+N119+N132+N149+N165+N181+N261+N277+N298+N315+N328+N345+N389+N402</f>
        <v>2075504.74</v>
      </c>
      <c r="O37" s="862">
        <f t="shared" ca="1" si="10"/>
        <v>112.35798237897387</v>
      </c>
      <c r="P37" s="862">
        <f t="shared" ca="1" si="11"/>
        <v>100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9" t="s">
        <v>27</v>
      </c>
      <c r="C40" s="888"/>
      <c r="D40" s="888"/>
      <c r="E40" s="888"/>
      <c r="F40" s="888"/>
      <c r="G40" s="894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1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190700</v>
      </c>
      <c r="M41" s="84">
        <f ca="1">M42+M43</f>
        <v>99794.45</v>
      </c>
      <c r="N41" s="84">
        <f ca="1">N42+N43</f>
        <v>99794.45</v>
      </c>
      <c r="O41" s="84">
        <f t="shared" ref="O41:O49" ca="1" si="15">IF(L41&gt;0,N41*100/L41,0)</f>
        <v>52.330597797587835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190700</v>
      </c>
      <c r="M43" s="91">
        <f t="shared" ca="1" si="17"/>
        <v>99794.45</v>
      </c>
      <c r="N43" s="91">
        <f t="shared" ca="1" si="17"/>
        <v>99794.45</v>
      </c>
      <c r="O43" s="91">
        <f t="shared" ca="1" si="15"/>
        <v>52.330597797587835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22" t="s">
        <v>12</v>
      </c>
      <c r="I44" s="269"/>
      <c r="J44" s="269"/>
      <c r="K44" s="497"/>
      <c r="L44" s="497">
        <f ca="1">L45+L46</f>
        <v>190700</v>
      </c>
      <c r="M44" s="497">
        <f ca="1">M45+M46</f>
        <v>99794.45</v>
      </c>
      <c r="N44" s="497">
        <f ca="1">N45+N46</f>
        <v>99794.45</v>
      </c>
      <c r="O44" s="497">
        <f t="shared" ca="1" si="15"/>
        <v>52.330597797587835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6"/>
      <c r="J45" s="616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6"/>
      <c r="J46" s="616"/>
      <c r="K46" s="92"/>
      <c r="L46" s="92">
        <f ca="1">IFERROR(__xludf.DUMMYFUNCTION("IMPORTRANGE(""https://docs.google.com/spreadsheets/d/1MeEWN-I1oV_STSDYn1IFDPWt_1FKiwhDph83XaGc0o0/edit?usp=sharing"",""งบพรบ!M83"")"),190700)</f>
        <v>190700</v>
      </c>
      <c r="M46" s="92">
        <f ca="1">IFERROR(__xludf.DUMMYFUNCTION("IMPORTRANGE(""https://docs.google.com/spreadsheets/d/1MeEWN-I1oV_STSDYn1IFDPWt_1FKiwhDph83XaGc0o0/edit?usp=sharing"",""งบพรบ!R83"")"),99794.45)</f>
        <v>99794.45</v>
      </c>
      <c r="N46" s="92">
        <f ca="1">IFERROR(__xludf.DUMMYFUNCTION("IMPORTRANGE(""https://docs.google.com/spreadsheets/d/1MeEWN-I1oV_STSDYn1IFDPWt_1FKiwhDph83XaGc0o0/edit?usp=sharing"",""งบพรบ!T83"")"),99794.45)</f>
        <v>99794.45</v>
      </c>
      <c r="O46" s="92">
        <f t="shared" ca="1" si="15"/>
        <v>52.330597797587835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22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6"/>
      <c r="J48" s="616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IFERROR(__xludf.DUMMYFUNCTION("IMPORTRANGE(""https://docs.google.com/spreadsheets/d/1MeEWN-I1oV_STSDYn1IFDPWt_1FKiwhDph83XaGc0o0/edit?usp=sharing"",""งบพรบ!P83"")"),0)</f>
        <v>0</v>
      </c>
      <c r="M49" s="51">
        <f ca="1">IFERROR(__xludf.DUMMYFUNCTION("IMPORTRANGE(""https://docs.google.com/spreadsheets/d/1MeEWN-I1oV_STSDYn1IFDPWt_1FKiwhDph83XaGc0o0/edit?usp=sharing"",""งบพรบ!S83"")"),0)</f>
        <v>0</v>
      </c>
      <c r="N49" s="51">
        <f ca="1">IFERROR(__xludf.DUMMYFUNCTION("IMPORTRANGE(""https://docs.google.com/spreadsheets/d/1MeEWN-I1oV_STSDYn1IFDPWt_1FKiwhDph83XaGc0o0/edit?usp=sharing"",""งบพรบ!U83"")"),0)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3" t="s">
        <v>29</v>
      </c>
      <c r="C51" s="888"/>
      <c r="D51" s="888"/>
      <c r="E51" s="888"/>
      <c r="F51" s="888"/>
      <c r="G51" s="894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606700</v>
      </c>
      <c r="M53" s="115">
        <f ca="1">M54+M55</f>
        <v>631495.29</v>
      </c>
      <c r="N53" s="115">
        <f ca="1">N54+N55</f>
        <v>631495.29</v>
      </c>
      <c r="O53" s="115">
        <f t="shared" ref="O53:O61" ca="1" si="18">IF(L53&gt;0,N53*100/L53,0)</f>
        <v>104.08691115872755</v>
      </c>
      <c r="P53" s="115">
        <f t="shared" ref="P53:P61" ca="1" si="19">IF(M53&gt;0,N53*100/M53,0)</f>
        <v>100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606700</v>
      </c>
      <c r="M55" s="122">
        <f t="shared" ca="1" si="20"/>
        <v>631495.29</v>
      </c>
      <c r="N55" s="122">
        <f t="shared" ca="1" si="20"/>
        <v>631495.29</v>
      </c>
      <c r="O55" s="122">
        <f t="shared" ca="1" si="18"/>
        <v>104.08691115872755</v>
      </c>
      <c r="P55" s="122">
        <f t="shared" ca="1" si="19"/>
        <v>100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22" t="s">
        <v>12</v>
      </c>
      <c r="I56" s="269"/>
      <c r="J56" s="269"/>
      <c r="K56" s="497"/>
      <c r="L56" s="497">
        <f ca="1">L57+L58</f>
        <v>606700</v>
      </c>
      <c r="M56" s="497">
        <f ca="1">M57+M58</f>
        <v>631495.29</v>
      </c>
      <c r="N56" s="497">
        <f ca="1">N57+N58</f>
        <v>631495.29</v>
      </c>
      <c r="O56" s="497">
        <f t="shared" ca="1" si="18"/>
        <v>104.08691115872755</v>
      </c>
      <c r="P56" s="497">
        <f t="shared" ca="1" si="19"/>
        <v>100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6"/>
      <c r="J57" s="616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6"/>
      <c r="J58" s="616"/>
      <c r="K58" s="92"/>
      <c r="L58" s="92">
        <f ca="1">IFERROR(__xludf.DUMMYFUNCTION("IMPORTRANGE(""https://docs.google.com/spreadsheets/d/1MeEWN-I1oV_STSDYn1IFDPWt_1FKiwhDph83XaGc0o0/edit?usp=sharing"",""งบพรบ!W83"")"),606700)</f>
        <v>606700</v>
      </c>
      <c r="M58" s="92">
        <f ca="1">IFERROR(__xludf.DUMMYFUNCTION("IMPORTRANGE(""https://docs.google.com/spreadsheets/d/1MeEWN-I1oV_STSDYn1IFDPWt_1FKiwhDph83XaGc0o0/edit?usp=sharing"",""งบพรบ!AB83"")"),631495.29)</f>
        <v>631495.29</v>
      </c>
      <c r="N58" s="92">
        <f ca="1">IFERROR(__xludf.DUMMYFUNCTION("IMPORTRANGE(""https://docs.google.com/spreadsheets/d/1MeEWN-I1oV_STSDYn1IFDPWt_1FKiwhDph83XaGc0o0/edit?usp=sharing"",""งบพรบ!AD83"")"),631495.29)</f>
        <v>631495.29</v>
      </c>
      <c r="O58" s="92">
        <f t="shared" ca="1" si="18"/>
        <v>104.08691115872755</v>
      </c>
      <c r="P58" s="92">
        <f t="shared" ca="1" si="19"/>
        <v>100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22" t="s">
        <v>12</v>
      </c>
      <c r="I59" s="269"/>
      <c r="J59" s="269"/>
      <c r="K59" s="497"/>
      <c r="L59" s="497">
        <f ca="1">L60+L61</f>
        <v>0</v>
      </c>
      <c r="M59" s="497">
        <f ca="1">M60+M61</f>
        <v>0</v>
      </c>
      <c r="N59" s="497">
        <f ca="1">N60+N61</f>
        <v>0</v>
      </c>
      <c r="O59" s="497">
        <f t="shared" ca="1" si="18"/>
        <v>0</v>
      </c>
      <c r="P59" s="497">
        <f t="shared" ca="1" si="19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6"/>
      <c r="J60" s="616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IFERROR(__xludf.DUMMYFUNCTION("IMPORTRANGE(""https://docs.google.com/spreadsheets/d/1MeEWN-I1oV_STSDYn1IFDPWt_1FKiwhDph83XaGc0o0/edit?usp=sharing"",""งบพรบ!Z83"")"),0)</f>
        <v>0</v>
      </c>
      <c r="M61" s="51">
        <f ca="1">IFERROR(__xludf.DUMMYFUNCTION("IMPORTRANGE(""https://docs.google.com/spreadsheets/d/1MeEWN-I1oV_STSDYn1IFDPWt_1FKiwhDph83XaGc0o0/edit?usp=sharing"",""งบพรบ!AC83"")"),0)</f>
        <v>0</v>
      </c>
      <c r="N61" s="51">
        <f ca="1">IFERROR(__xludf.DUMMYFUNCTION("IMPORTRANGE(""https://docs.google.com/spreadsheets/d/1MeEWN-I1oV_STSDYn1IFDPWt_1FKiwhDph83XaGc0o0/edit?usp=sharing"",""งบพรบ!AE83"")"),0)</f>
        <v>0</v>
      </c>
      <c r="O61" s="51">
        <f t="shared" ca="1" si="18"/>
        <v>0</v>
      </c>
      <c r="P61" s="51">
        <f t="shared" ca="1" si="19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46" t="s">
        <v>17</v>
      </c>
      <c r="E66" s="147"/>
      <c r="F66" s="147"/>
      <c r="G66" s="150"/>
      <c r="H66" s="151" t="s">
        <v>12</v>
      </c>
      <c r="I66" s="420"/>
      <c r="J66" s="420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6"/>
      <c r="J67" s="616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6"/>
      <c r="J68" s="616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IFERROR(__xludf.DUMMYFUNCTION("IMPORTRANGE(""https://docs.google.com/spreadsheets/d/1MeEWN-I1oV_STSDYn1IFDPWt_1FKiwhDph83XaGc0o0/edit?usp=sharing"",""งบพรบ!AG83"")"),0)</f>
        <v>0</v>
      </c>
      <c r="M71" s="92">
        <f ca="1">IFERROR(__xludf.DUMMYFUNCTION("IMPORTRANGE(""https://docs.google.com/spreadsheets/d/1MeEWN-I1oV_STSDYn1IFDPWt_1FKiwhDph83XaGc0o0/edit?usp=sharing"",""งบพรบ!AL83"")"),0)</f>
        <v>0</v>
      </c>
      <c r="N71" s="92">
        <f ca="1">IFERROR(__xludf.DUMMYFUNCTION("IMPORTRANGE(""https://docs.google.com/spreadsheets/d/1MeEWN-I1oV_STSDYn1IFDPWt_1FKiwhDph83XaGc0o0/edit?usp=sharing"",""งบพรบ!AN83"")"),0)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IFERROR(__xludf.DUMMYFUNCTION("IMPORTRANGE(""https://docs.google.com/spreadsheets/d/1MeEWN-I1oV_STSDYn1IFDPWt_1FKiwhDph83XaGc0o0/edit?usp=sharing"",""งบพรบ!AJ83"")"),0)</f>
        <v>0</v>
      </c>
      <c r="M74" s="92">
        <f ca="1">IFERROR(__xludf.DUMMYFUNCTION("IMPORTRANGE(""https://docs.google.com/spreadsheets/d/1MeEWN-I1oV_STSDYn1IFDPWt_1FKiwhDph83XaGc0o0/edit?usp=sharing"",""งบพรบ!AM83"")"),0)</f>
        <v>0</v>
      </c>
      <c r="N74" s="92">
        <f ca="1">IFERROR(__xludf.DUMMYFUNCTION("IMPORTRANGE(""https://docs.google.com/spreadsheets/d/1MeEWN-I1oV_STSDYn1IFDPWt_1FKiwhDph83XaGc0o0/edit?usp=sharing"",""งบพรบ!AO83"")"),0)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47" t="s">
        <v>38</v>
      </c>
      <c r="E75" s="172"/>
      <c r="F75" s="172"/>
      <c r="G75" s="173"/>
      <c r="H75" s="761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7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7" t="s">
        <v>40</v>
      </c>
      <c r="F78" s="447"/>
      <c r="G78" s="178"/>
      <c r="H78" s="763" t="s">
        <v>34</v>
      </c>
      <c r="I78" s="183">
        <f ca="1">IFERROR(__xludf.DUMMYFUNCTION("IMPORTRANGE(""https://docs.google.com/spreadsheets/d/1QqKyyYR6Q21VydFLVH3TRQUabQu_ym0Zz7PgGX0-kHA/edit?usp=sharing"",""แผน!H83"")"),0)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63" t="s">
        <v>35</v>
      </c>
      <c r="I79" s="183">
        <f ca="1">IFERROR(__xludf.DUMMYFUNCTION("IMPORTRANGE(""https://docs.google.com/spreadsheets/d/1QqKyyYR6Q21VydFLVH3TRQUabQu_ym0Zz7PgGX0-kHA/edit?usp=sharing"",""แผน!I83"")"),0)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7" t="s">
        <v>41</v>
      </c>
      <c r="F80" s="447"/>
      <c r="G80" s="178"/>
      <c r="H80" s="763" t="s">
        <v>34</v>
      </c>
      <c r="I80" s="183">
        <f ca="1">IFERROR(__xludf.DUMMYFUNCTION("IMPORTRANGE(""https://docs.google.com/spreadsheets/d/1QqKyyYR6Q21VydFLVH3TRQUabQu_ym0Zz7PgGX0-kHA/edit?usp=sharing"",""แผน!F83"")"),0)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63" t="s">
        <v>35</v>
      </c>
      <c r="I81" s="183">
        <f ca="1">IFERROR(__xludf.DUMMYFUNCTION("IMPORTRANGE(""https://docs.google.com/spreadsheets/d/1QqKyyYR6Q21VydFLVH3TRQUabQu_ym0Zz7PgGX0-kHA/edit?usp=sharing"",""แผน!G83"")"),0)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7" t="s">
        <v>42</v>
      </c>
      <c r="F82" s="447"/>
      <c r="G82" s="178"/>
      <c r="H82" s="763" t="s">
        <v>34</v>
      </c>
      <c r="I82" s="183">
        <f ca="1">IFERROR(__xludf.DUMMYFUNCTION("IMPORTRANGE(""https://docs.google.com/spreadsheets/d/1QqKyyYR6Q21VydFLVH3TRQUabQu_ym0Zz7PgGX0-kHA/edit?usp=sharing"",""แผน!D83"")"),0)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63" t="s">
        <v>35</v>
      </c>
      <c r="I83" s="183">
        <f ca="1">IFERROR(__xludf.DUMMYFUNCTION("IMPORTRANGE(""https://docs.google.com/spreadsheets/d/1QqKyyYR6Q21VydFLVH3TRQUabQu_ym0Zz7PgGX0-kHA/edit?usp=sharing"",""แผน!E83"")"),0)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7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IFERROR(__xludf.DUMMYFUNCTION("IMPORTRANGE(""https://docs.google.com/spreadsheets/d/1QqKyyYR6Q21VydFLVH3TRQUabQu_ym0Zz7PgGX0-kHA/edit?usp=sharing"",""แผน!J83"")"),0)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0</v>
      </c>
      <c r="J86" s="143">
        <f>J98</f>
        <v>0</v>
      </c>
      <c r="K86" s="144">
        <f ca="1">IF(I86&gt;0,J86*100/I86,0)</f>
        <v>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0</v>
      </c>
      <c r="J87" s="143">
        <f>J99</f>
        <v>0</v>
      </c>
      <c r="K87" s="144">
        <f ca="1">IF(I87&gt;0,J87*100/I87,0)</f>
        <v>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46" t="s">
        <v>17</v>
      </c>
      <c r="E88" s="147"/>
      <c r="F88" s="147"/>
      <c r="G88" s="150"/>
      <c r="H88" s="151" t="s">
        <v>12</v>
      </c>
      <c r="I88" s="420"/>
      <c r="J88" s="420"/>
      <c r="K88" s="153"/>
      <c r="L88" s="154">
        <f ca="1">L89+L90</f>
        <v>319000</v>
      </c>
      <c r="M88" s="154">
        <f ca="1">M89+M90</f>
        <v>319000</v>
      </c>
      <c r="N88" s="154">
        <f ca="1">N89+N90</f>
        <v>319000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6"/>
      <c r="J89" s="616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6"/>
      <c r="J90" s="616"/>
      <c r="K90" s="92"/>
      <c r="L90" s="92">
        <f t="shared" ca="1" si="27"/>
        <v>319000</v>
      </c>
      <c r="M90" s="92">
        <f t="shared" ca="1" si="27"/>
        <v>319000</v>
      </c>
      <c r="N90" s="92">
        <f t="shared" ca="1" si="27"/>
        <v>319000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319000</v>
      </c>
      <c r="M91" s="497">
        <f ca="1">M92+M93</f>
        <v>319000</v>
      </c>
      <c r="N91" s="497">
        <f ca="1">N92+N93</f>
        <v>319000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IFERROR(__xludf.DUMMYFUNCTION("IMPORTRANGE(""https://docs.google.com/spreadsheets/d/1MeEWN-I1oV_STSDYn1IFDPWt_1FKiwhDph83XaGc0o0/edit?usp=sharing"",""งบพรบ!AQ83"")"),319000)</f>
        <v>319000</v>
      </c>
      <c r="M93" s="92">
        <f ca="1">IFERROR(__xludf.DUMMYFUNCTION("IMPORTRANGE(""https://docs.google.com/spreadsheets/d/1MeEWN-I1oV_STSDYn1IFDPWt_1FKiwhDph83XaGc0o0/edit?usp=sharing"",""งบพรบ!AV83"")"),319000)</f>
        <v>319000</v>
      </c>
      <c r="N93" s="92">
        <f ca="1">IFERROR(__xludf.DUMMYFUNCTION("IMPORTRANGE(""https://docs.google.com/spreadsheets/d/1MeEWN-I1oV_STSDYn1IFDPWt_1FKiwhDph83XaGc0o0/edit?usp=sharing"",""งบพรบ!AX83"")"),319000)</f>
        <v>319000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IFERROR(__xludf.DUMMYFUNCTION("IMPORTRANGE(""https://docs.google.com/spreadsheets/d/1MeEWN-I1oV_STSDYn1IFDPWt_1FKiwhDph83XaGc0o0/edit?usp=sharing"",""งบพรบ!AT83"")"),0)</f>
        <v>0</v>
      </c>
      <c r="M96" s="92">
        <f ca="1">IFERROR(__xludf.DUMMYFUNCTION("IMPORTRANGE(""https://docs.google.com/spreadsheets/d/1MeEWN-I1oV_STSDYn1IFDPWt_1FKiwhDph83XaGc0o0/edit?usp=sharing"",""งบพรบ!AW83"")"),0)</f>
        <v>0</v>
      </c>
      <c r="N96" s="92">
        <f ca="1">IFERROR(__xludf.DUMMYFUNCTION("IMPORTRANGE(""https://docs.google.com/spreadsheets/d/1MeEWN-I1oV_STSDYn1IFDPWt_1FKiwhDph83XaGc0o0/edit?usp=sharing"",""งบพรบ!AY83"")"),0)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47" t="s">
        <v>38</v>
      </c>
      <c r="E97" s="172"/>
      <c r="F97" s="172"/>
      <c r="G97" s="173"/>
      <c r="H97" s="761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7" t="s">
        <v>47</v>
      </c>
      <c r="E98" s="447"/>
      <c r="F98" s="177"/>
      <c r="G98" s="178"/>
      <c r="H98" s="622" t="s">
        <v>46</v>
      </c>
      <c r="I98" s="269">
        <f ca="1">IFERROR(__xludf.DUMMYFUNCTION("IMPORTRANGE(""https://docs.google.com/spreadsheets/d/1QqKyyYR6Q21VydFLVH3TRQUabQu_ym0Zz7PgGX0-kHA/edit?usp=sharing"",""แผน!K83"")"),0)</f>
        <v>0</v>
      </c>
      <c r="J98" s="269">
        <f>J102</f>
        <v>0</v>
      </c>
      <c r="K98" s="497">
        <f ca="1">IF(I98&gt;0,J98*100/I98,0)</f>
        <v>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7" t="s">
        <v>48</v>
      </c>
      <c r="E99" s="447"/>
      <c r="F99" s="177"/>
      <c r="G99" s="178"/>
      <c r="H99" s="622" t="s">
        <v>35</v>
      </c>
      <c r="I99" s="269">
        <f ca="1">IFERROR(__xludf.DUMMYFUNCTION("IMPORTRANGE(""https://docs.google.com/spreadsheets/d/1QqKyyYR6Q21VydFLVH3TRQUabQu_ym0Zz7PgGX0-kHA/edit?usp=sharing"",""แผน!L83"")"),0)</f>
        <v>0</v>
      </c>
      <c r="J99" s="269">
        <f>J104</f>
        <v>0</v>
      </c>
      <c r="K99" s="497">
        <f ca="1">IF(I99&gt;0,J99*100/I99,0)</f>
        <v>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22" t="s">
        <v>49</v>
      </c>
      <c r="I100" s="269">
        <f ca="1">IFERROR(__xludf.DUMMYFUNCTION("IMPORTRANGE(""https://docs.google.com/spreadsheets/d/1QqKyyYR6Q21VydFLVH3TRQUabQu_ym0Zz7PgGX0-kHA/edit?usp=sharing"",""แผน!M83"")"),1)</f>
        <v>1</v>
      </c>
      <c r="J100" s="269">
        <f>J107+J110</f>
        <v>1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22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5" t="s">
        <v>47</v>
      </c>
      <c r="F102" s="177"/>
      <c r="G102" s="178"/>
      <c r="H102" s="622" t="s">
        <v>46</v>
      </c>
      <c r="I102" s="269">
        <f ca="1">IFERROR(__xludf.DUMMYFUNCTION("IMPORTRANGE(""https://docs.google.com/spreadsheets/d/1QqKyyYR6Q21VydFLVH3TRQUabQu_ym0Zz7PgGX0-kHA/edit?usp=sharing"",""แผน!N83"")"),0)</f>
        <v>0</v>
      </c>
      <c r="J102" s="214">
        <v>0</v>
      </c>
      <c r="K102" s="497">
        <f ca="1">IF(I102&gt;0,J102*100/I102,0)</f>
        <v>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7" t="s">
        <v>51</v>
      </c>
      <c r="F103" s="177"/>
      <c r="G103" s="178"/>
      <c r="H103" s="622" t="s">
        <v>35</v>
      </c>
      <c r="I103" s="269">
        <f ca="1">IFERROR(__xludf.DUMMYFUNCTION("IMPORTRANGE(""https://docs.google.com/spreadsheets/d/1QqKyyYR6Q21VydFLVH3TRQUabQu_ym0Zz7PgGX0-kHA/edit?usp=sharing"",""แผน!O83"")"),0)</f>
        <v>0</v>
      </c>
      <c r="J103" s="214">
        <v>0</v>
      </c>
      <c r="K103" s="497">
        <f ca="1">IF(I103&gt;0,J103*100/I103,0)</f>
        <v>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22" t="s">
        <v>35</v>
      </c>
      <c r="I104" s="269">
        <f ca="1">IFERROR(__xludf.DUMMYFUNCTION("IMPORTRANGE(""https://docs.google.com/spreadsheets/d/1QqKyyYR6Q21VydFLVH3TRQUabQu_ym0Zz7PgGX0-kHA/edit?usp=sharing"",""แผน!O83"")"),0)</f>
        <v>0</v>
      </c>
      <c r="J104" s="214">
        <v>0</v>
      </c>
      <c r="K104" s="497">
        <f ca="1">IF(I104&gt;0,J104*100/I104,0)</f>
        <v>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7" t="s">
        <v>54</v>
      </c>
      <c r="F106" s="177"/>
      <c r="G106" s="178"/>
      <c r="H106" s="622" t="s">
        <v>49</v>
      </c>
      <c r="I106" s="269">
        <f ca="1">IFERROR(__xludf.DUMMYFUNCTION("IMPORTRANGE(""https://docs.google.com/spreadsheets/d/1QqKyyYR6Q21VydFLVH3TRQUabQu_ym0Zz7PgGX0-kHA/edit?usp=sharing"",""แผน!P83"")"),0)</f>
        <v>0</v>
      </c>
      <c r="J106" s="214">
        <v>0</v>
      </c>
      <c r="K106" s="497">
        <f ca="1">IF(I106&gt;0,J106*100/I106,0)</f>
        <v>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22" t="s">
        <v>49</v>
      </c>
      <c r="I107" s="269">
        <f ca="1">IFERROR(__xludf.DUMMYFUNCTION("IMPORTRANGE(""https://docs.google.com/spreadsheets/d/1QqKyyYR6Q21VydFLVH3TRQUabQu_ym0Zz7PgGX0-kHA/edit?usp=sharing"",""แผน!P83"")"),0)</f>
        <v>0</v>
      </c>
      <c r="J107" s="214">
        <v>0</v>
      </c>
      <c r="K107" s="497">
        <f ca="1">IF(I107&gt;0,J107*100/I107,0)</f>
        <v>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7" t="s">
        <v>57</v>
      </c>
      <c r="F109" s="177"/>
      <c r="G109" s="178"/>
      <c r="H109" s="622" t="s">
        <v>49</v>
      </c>
      <c r="I109" s="269">
        <f ca="1">IFERROR(__xludf.DUMMYFUNCTION("IMPORTRANGE(""https://docs.google.com/spreadsheets/d/1QqKyyYR6Q21VydFLVH3TRQUabQu_ym0Zz7PgGX0-kHA/edit?usp=sharing"",""แผน!Q83"")"),1)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22" t="s">
        <v>49</v>
      </c>
      <c r="I110" s="269">
        <f ca="1">IFERROR(__xludf.DUMMYFUNCTION("IMPORTRANGE(""https://docs.google.com/spreadsheets/d/1QqKyyYR6Q21VydFLVH3TRQUabQu_ym0Zz7PgGX0-kHA/edit?usp=sharing"",""แผน!Q83"")"),1)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6" t="s">
        <v>35</v>
      </c>
      <c r="I111" s="192">
        <f ca="1">IFERROR(__xludf.DUMMYFUNCTION("IMPORTRANGE(""https://docs.google.com/spreadsheets/d/1QqKyyYR6Q21VydFLVH3TRQUabQu_ym0Zz7PgGX0-kHA/edit?usp=sharing"",""แผน!R83"")"),0)</f>
        <v>0</v>
      </c>
      <c r="J111" s="680">
        <f>J114</f>
        <v>0</v>
      </c>
      <c r="K111" s="194">
        <f t="shared" ca="1" si="28"/>
        <v>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1</v>
      </c>
      <c r="J112" s="680">
        <f>J115+J116</f>
        <v>1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31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IFERROR(__xludf.DUMMYFUNCTION("IMPORTRANGE(""https://docs.google.com/spreadsheets/d/1QqKyyYR6Q21VydFLVH3TRQUabQu_ym0Zz7PgGX0-kHA/edit?usp=sharing"",""แผน!R83"")"),0)</f>
        <v>0</v>
      </c>
      <c r="J113" s="214">
        <v>0</v>
      </c>
      <c r="K113" s="497">
        <f t="shared" ca="1" si="28"/>
        <v>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7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IFERROR(__xludf.DUMMYFUNCTION("IMPORTRANGE(""https://docs.google.com/spreadsheets/d/1QqKyyYR6Q21VydFLVH3TRQUabQu_ym0Zz7PgGX0-kHA/edit?usp=sharing"",""แผน!R83"")"),0)</f>
        <v>0</v>
      </c>
      <c r="J114" s="214">
        <v>0</v>
      </c>
      <c r="K114" s="497">
        <f t="shared" ca="1" si="28"/>
        <v>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7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IFERROR(__xludf.DUMMYFUNCTION("IMPORTRANGE(""https://docs.google.com/spreadsheets/d/1QqKyyYR6Q21VydFLVH3TRQUabQu_ym0Zz7PgGX0-kHA/edit?usp=sharing"",""แผน!S83"")"),0)</f>
        <v>0</v>
      </c>
      <c r="J115" s="214">
        <v>0</v>
      </c>
      <c r="K115" s="497">
        <f t="shared" ca="1" si="28"/>
        <v>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7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IFERROR(__xludf.DUMMYFUNCTION("IMPORTRANGE(""https://docs.google.com/spreadsheets/d/1QqKyyYR6Q21VydFLVH3TRQUabQu_ym0Zz7PgGX0-kHA/edit?usp=sharing"",""แผน!T83"")"),1)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46" t="s">
        <v>17</v>
      </c>
      <c r="E119" s="147"/>
      <c r="F119" s="147"/>
      <c r="G119" s="150"/>
      <c r="H119" s="151" t="s">
        <v>12</v>
      </c>
      <c r="I119" s="420"/>
      <c r="J119" s="420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6"/>
      <c r="J120" s="616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6"/>
      <c r="J121" s="616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IFERROR(__xludf.DUMMYFUNCTION("IMPORTRANGE(""https://docs.google.com/spreadsheets/d/1MeEWN-I1oV_STSDYn1IFDPWt_1FKiwhDph83XaGc0o0/edit?usp=sharing"",""งบพรบ!BA83"")"),0)</f>
        <v>0</v>
      </c>
      <c r="M124" s="92">
        <f ca="1">IFERROR(__xludf.DUMMYFUNCTION("IMPORTRANGE(""https://docs.google.com/spreadsheets/d/1MeEWN-I1oV_STSDYn1IFDPWt_1FKiwhDph83XaGc0o0/edit?usp=sharing"",""งบพรบ!BF83"")"),0)</f>
        <v>0</v>
      </c>
      <c r="N124" s="92">
        <f ca="1">IFERROR(__xludf.DUMMYFUNCTION("IMPORTRANGE(""https://docs.google.com/spreadsheets/d/1MeEWN-I1oV_STSDYn1IFDPWt_1FKiwhDph83XaGc0o0/edit?usp=sharing"",""งบพรบ!BH83"")"),0)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IFERROR(__xludf.DUMMYFUNCTION("IMPORTRANGE(""https://docs.google.com/spreadsheets/d/1MeEWN-I1oV_STSDYn1IFDPWt_1FKiwhDph83XaGc0o0/edit?usp=sharing"",""งบพรบ!BD83"")"),0)</f>
        <v>0</v>
      </c>
      <c r="M127" s="92">
        <f ca="1">IFERROR(__xludf.DUMMYFUNCTION("IMPORTRANGE(""https://docs.google.com/spreadsheets/d/1MeEWN-I1oV_STSDYn1IFDPWt_1FKiwhDph83XaGc0o0/edit?usp=sharing"",""งบพรบ!BG83"")"),0)</f>
        <v>0</v>
      </c>
      <c r="N127" s="92">
        <f ca="1">IFERROR(__xludf.DUMMYFUNCTION("IMPORTRANGE(""https://docs.google.com/spreadsheets/d/1MeEWN-I1oV_STSDYn1IFDPWt_1FKiwhDph83XaGc0o0/edit?usp=sharing"",""งบพรบ!BI83"")"),0)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46" t="s">
        <v>17</v>
      </c>
      <c r="E132" s="147"/>
      <c r="F132" s="147"/>
      <c r="G132" s="150"/>
      <c r="H132" s="151" t="s">
        <v>12</v>
      </c>
      <c r="I132" s="420"/>
      <c r="J132" s="420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6"/>
      <c r="J133" s="616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6"/>
      <c r="J134" s="616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IFERROR(__xludf.DUMMYFUNCTION("IMPORTRANGE(""https://docs.google.com/spreadsheets/d/1MeEWN-I1oV_STSDYn1IFDPWt_1FKiwhDph83XaGc0o0/edit?usp=sharing"",""งบพรบ!BK83"")"),0)</f>
        <v>0</v>
      </c>
      <c r="M137" s="92">
        <f ca="1">IFERROR(__xludf.DUMMYFUNCTION("IMPORTRANGE(""https://docs.google.com/spreadsheets/d/1MeEWN-I1oV_STSDYn1IFDPWt_1FKiwhDph83XaGc0o0/edit?usp=sharing"",""งบพรบ!BP83"")"),0)</f>
        <v>0</v>
      </c>
      <c r="N137" s="92">
        <f ca="1">IFERROR(__xludf.DUMMYFUNCTION("IMPORTRANGE(""https://docs.google.com/spreadsheets/d/1MeEWN-I1oV_STSDYn1IFDPWt_1FKiwhDph83XaGc0o0/edit?usp=sharing"",""งบพรบ!BR83"")"),0)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IFERROR(__xludf.DUMMYFUNCTION("IMPORTRANGE(""https://docs.google.com/spreadsheets/d/1MeEWN-I1oV_STSDYn1IFDPWt_1FKiwhDph83XaGc0o0/edit?usp=sharing"",""งบพรบ!BN83"")"),0)</f>
        <v>0</v>
      </c>
      <c r="M140" s="92">
        <f ca="1">IFERROR(__xludf.DUMMYFUNCTION("IMPORTRANGE(""https://docs.google.com/spreadsheets/d/1MeEWN-I1oV_STSDYn1IFDPWt_1FKiwhDph83XaGc0o0/edit?usp=sharing"",""งบพรบ!BQ83"")"),0)</f>
        <v>0</v>
      </c>
      <c r="N140" s="92">
        <f ca="1">IFERROR(__xludf.DUMMYFUNCTION("IMPORTRANGE(""https://docs.google.com/spreadsheets/d/1MeEWN-I1oV_STSDYn1IFDPWt_1FKiwhDph83XaGc0o0/edit?usp=sharing"",""งบพรบ!BS83"")"),0)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4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IFERROR(__xludf.DUMMYFUNCTION("IMPORTRANGE(""https://docs.google.com/spreadsheets/d/1QqKyyYR6Q21VydFLVH3TRQUabQu_ym0Zz7PgGX0-kHA/edit?usp=sharing"",""แผน!U83"")"),0)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IFERROR(__xludf.DUMMYFUNCTION("IMPORTRANGE(""https://docs.google.com/spreadsheets/d/1QqKyyYR6Q21VydFLVH3TRQUabQu_ym0Zz7PgGX0-kHA/edit?usp=sharing"",""แผน!V83"")"),0)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IFERROR(__xludf.DUMMYFUNCTION("IMPORTRANGE(""https://docs.google.com/spreadsheets/d/1QqKyyYR6Q21VydFLVH3TRQUabQu_ym0Zz7PgGX0-kHA/edit?usp=sharing"",""แผน!W83"")"),0)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 hidden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 hidden="1">
      <c r="A148" s="216"/>
      <c r="B148" s="208" t="s">
        <v>77</v>
      </c>
      <c r="C148" s="208"/>
      <c r="D148" s="208"/>
      <c r="E148" s="859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6"/>
      <c r="B149" s="147"/>
      <c r="C149" s="148" t="s">
        <v>16</v>
      </c>
      <c r="D149" s="846" t="s">
        <v>17</v>
      </c>
      <c r="E149" s="147"/>
      <c r="F149" s="147"/>
      <c r="G149" s="150"/>
      <c r="H149" s="151" t="s">
        <v>12</v>
      </c>
      <c r="I149" s="420"/>
      <c r="J149" s="420"/>
      <c r="K149" s="153"/>
      <c r="L149" s="154">
        <f ca="1">L150+L151</f>
        <v>0</v>
      </c>
      <c r="M149" s="154">
        <f ca="1">M150+M151</f>
        <v>0</v>
      </c>
      <c r="N149" s="154">
        <f ca="1">N150+N151</f>
        <v>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6"/>
      <c r="J150" s="616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6"/>
      <c r="J151" s="616"/>
      <c r="K151" s="92"/>
      <c r="L151" s="92">
        <f t="shared" ca="1" si="37"/>
        <v>0</v>
      </c>
      <c r="M151" s="92">
        <f t="shared" ca="1" si="37"/>
        <v>0</v>
      </c>
      <c r="N151" s="92">
        <f t="shared" ca="1" si="37"/>
        <v>0</v>
      </c>
      <c r="O151" s="92">
        <f t="shared" ca="1" si="35"/>
        <v>0</v>
      </c>
      <c r="P151" s="92">
        <f t="shared" ca="1" si="36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0</v>
      </c>
      <c r="N152" s="497">
        <f ca="1">N153+N154</f>
        <v>0</v>
      </c>
      <c r="O152" s="497">
        <f t="shared" ca="1" si="35"/>
        <v>0</v>
      </c>
      <c r="P152" s="497">
        <f t="shared" ca="1" si="36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IFERROR(__xludf.DUMMYFUNCTION("IMPORTRANGE(""https://docs.google.com/spreadsheets/d/1MeEWN-I1oV_STSDYn1IFDPWt_1FKiwhDph83XaGc0o0/edit?usp=sharing"",""งบพรบ!BU83"")"),0)</f>
        <v>0</v>
      </c>
      <c r="M154" s="92">
        <f ca="1">IFERROR(__xludf.DUMMYFUNCTION("IMPORTRANGE(""https://docs.google.com/spreadsheets/d/1MeEWN-I1oV_STSDYn1IFDPWt_1FKiwhDph83XaGc0o0/edit?usp=sharing"",""งบพรบ!BZ83"")"),0)</f>
        <v>0</v>
      </c>
      <c r="N154" s="92">
        <f ca="1">IFERROR(__xludf.DUMMYFUNCTION("IMPORTRANGE(""https://docs.google.com/spreadsheets/d/1MeEWN-I1oV_STSDYn1IFDPWt_1FKiwhDph83XaGc0o0/edit?usp=sharing"",""งบพรบ!CB83"")"),0)</f>
        <v>0</v>
      </c>
      <c r="O154" s="92">
        <f t="shared" ca="1" si="35"/>
        <v>0</v>
      </c>
      <c r="P154" s="92">
        <f t="shared" ca="1" si="36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IFERROR(__xludf.DUMMYFUNCTION("IMPORTRANGE(""https://docs.google.com/spreadsheets/d/1MeEWN-I1oV_STSDYn1IFDPWt_1FKiwhDph83XaGc0o0/edit?usp=sharing"",""งบพรบ!BX83"")"),0)</f>
        <v>0</v>
      </c>
      <c r="M157" s="92">
        <f ca="1">IFERROR(__xludf.DUMMYFUNCTION("IMPORTRANGE(""https://docs.google.com/spreadsheets/d/1MeEWN-I1oV_STSDYn1IFDPWt_1FKiwhDph83XaGc0o0/edit?usp=sharing"",""งบพรบ!CA83"")"),0)</f>
        <v>0</v>
      </c>
      <c r="N157" s="92">
        <f ca="1">IFERROR(__xludf.DUMMYFUNCTION("IMPORTRANGE(""https://docs.google.com/spreadsheets/d/1MeEWN-I1oV_STSDYn1IFDPWt_1FKiwhDph83XaGc0o0/edit?usp=sharing"",""งบพรบ!CC83"")"),0)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4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IFERROR(__xludf.DUMMYFUNCTION("IMPORTRANGE(""https://docs.google.com/spreadsheets/d/1QqKyyYR6Q21VydFLVH3TRQUabQu_ym0Zz7PgGX0-kHA/edit?usp=sharing"",""แผน!X83"")"),0)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6"/>
      <c r="J160" s="616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58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13</v>
      </c>
      <c r="J164" s="252">
        <f>J174+J177</f>
        <v>13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46" t="s">
        <v>17</v>
      </c>
      <c r="E165" s="147"/>
      <c r="F165" s="147"/>
      <c r="G165" s="150"/>
      <c r="H165" s="151" t="s">
        <v>12</v>
      </c>
      <c r="I165" s="420"/>
      <c r="J165" s="420"/>
      <c r="K165" s="153"/>
      <c r="L165" s="154">
        <f ca="1">L166+L167</f>
        <v>24065</v>
      </c>
      <c r="M165" s="154">
        <f ca="1">M166+M167</f>
        <v>77535</v>
      </c>
      <c r="N165" s="154">
        <f ca="1">N166+N167</f>
        <v>77535</v>
      </c>
      <c r="O165" s="154">
        <f t="shared" ref="O165:O173" ca="1" si="38">IF(L165&gt;0,N165*100/L165,0)</f>
        <v>322.18990234780802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6"/>
      <c r="J166" s="616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6"/>
      <c r="J167" s="616"/>
      <c r="K167" s="92"/>
      <c r="L167" s="92">
        <f t="shared" ca="1" si="40"/>
        <v>24065</v>
      </c>
      <c r="M167" s="92">
        <f t="shared" ca="1" si="40"/>
        <v>77535</v>
      </c>
      <c r="N167" s="92">
        <f t="shared" ca="1" si="40"/>
        <v>77535</v>
      </c>
      <c r="O167" s="92">
        <f t="shared" ca="1" si="38"/>
        <v>322.18990234780802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24065</v>
      </c>
      <c r="M168" s="497">
        <f ca="1">M169+M170</f>
        <v>77535</v>
      </c>
      <c r="N168" s="497">
        <f ca="1">N169+N170</f>
        <v>77535</v>
      </c>
      <c r="O168" s="497">
        <f t="shared" ca="1" si="38"/>
        <v>322.18990234780802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IFERROR(__xludf.DUMMYFUNCTION("IMPORTRANGE(""https://docs.google.com/spreadsheets/d/1MeEWN-I1oV_STSDYn1IFDPWt_1FKiwhDph83XaGc0o0/edit?usp=sharing"",""งบพรบ!CE83"")"),24065)</f>
        <v>24065</v>
      </c>
      <c r="M170" s="92">
        <f ca="1">IFERROR(__xludf.DUMMYFUNCTION("IMPORTRANGE(""https://docs.google.com/spreadsheets/d/1MeEWN-I1oV_STSDYn1IFDPWt_1FKiwhDph83XaGc0o0/edit?usp=sharing"",""งบพรบ!CJ83"")"),77535)</f>
        <v>77535</v>
      </c>
      <c r="N170" s="92">
        <f ca="1">IFERROR(__xludf.DUMMYFUNCTION("IMPORTRANGE(""https://docs.google.com/spreadsheets/d/1MeEWN-I1oV_STSDYn1IFDPWt_1FKiwhDph83XaGc0o0/edit?usp=sharing"",""งบพรบ!CL83"")"),77535)</f>
        <v>77535</v>
      </c>
      <c r="O170" s="92">
        <f t="shared" ca="1" si="38"/>
        <v>322.18990234780802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IFERROR(__xludf.DUMMYFUNCTION("IMPORTRANGE(""https://docs.google.com/spreadsheets/d/1MeEWN-I1oV_STSDYn1IFDPWt_1FKiwhDph83XaGc0o0/edit?usp=sharing"",""งบพรบ!CH83"")"),0)</f>
        <v>0</v>
      </c>
      <c r="M173" s="92">
        <f ca="1">IFERROR(__xludf.DUMMYFUNCTION("IMPORTRANGE(""https://docs.google.com/spreadsheets/d/1MeEWN-I1oV_STSDYn1IFDPWt_1FKiwhDph83XaGc0o0/edit?usp=sharing"",""งบพรบ!CK83"")"),0)</f>
        <v>0</v>
      </c>
      <c r="N173" s="92">
        <f ca="1">IFERROR(__xludf.DUMMYFUNCTION("IMPORTRANGE(""https://docs.google.com/spreadsheets/d/1MeEWN-I1oV_STSDYn1IFDPWt_1FKiwhDph83XaGc0o0/edit?usp=sharing"",""งบพรบ!CM83"")"),0)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13</v>
      </c>
      <c r="J174" s="260">
        <f>J176</f>
        <v>13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47" t="s">
        <v>38</v>
      </c>
      <c r="E175" s="172"/>
      <c r="F175" s="172"/>
      <c r="G175" s="173"/>
      <c r="H175" s="761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5" t="s">
        <v>85</v>
      </c>
      <c r="E176" s="177"/>
      <c r="F176" s="177"/>
      <c r="G176" s="178"/>
      <c r="H176" s="622" t="s">
        <v>35</v>
      </c>
      <c r="I176" s="269">
        <f ca="1">IFERROR(__xludf.DUMMYFUNCTION("IMPORTRANGE(""https://docs.google.com/spreadsheets/d/1QqKyyYR6Q21VydFLVH3TRQUabQu_ym0Zz7PgGX0-kHA/edit?usp=sharing"",""แผน!Y83"")"),13)</f>
        <v>13</v>
      </c>
      <c r="J176" s="214">
        <v>13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61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46" t="s">
        <v>17</v>
      </c>
      <c r="E181" s="147"/>
      <c r="F181" s="147"/>
      <c r="G181" s="150"/>
      <c r="H181" s="151" t="s">
        <v>12</v>
      </c>
      <c r="I181" s="420"/>
      <c r="J181" s="420"/>
      <c r="K181" s="153"/>
      <c r="L181" s="154">
        <f ca="1">L182+L183</f>
        <v>6000</v>
      </c>
      <c r="M181" s="154">
        <f ca="1">M182+M183</f>
        <v>6000</v>
      </c>
      <c r="N181" s="154">
        <f ca="1">N182+N183</f>
        <v>6000</v>
      </c>
      <c r="O181" s="154">
        <f t="shared" ref="O181:O189" ca="1" si="41">IF(L181&gt;0,N181*100/L181,0)</f>
        <v>100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6"/>
      <c r="J182" s="616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6"/>
      <c r="J183" s="616"/>
      <c r="K183" s="92"/>
      <c r="L183" s="92">
        <f t="shared" ca="1" si="43"/>
        <v>6000</v>
      </c>
      <c r="M183" s="92">
        <f t="shared" ca="1" si="43"/>
        <v>6000</v>
      </c>
      <c r="N183" s="92">
        <f t="shared" ca="1" si="43"/>
        <v>6000</v>
      </c>
      <c r="O183" s="92">
        <f t="shared" ca="1" si="41"/>
        <v>100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6000</v>
      </c>
      <c r="M184" s="497">
        <f ca="1">M185+M186</f>
        <v>6000</v>
      </c>
      <c r="N184" s="497">
        <f ca="1">N185+N186</f>
        <v>6000</v>
      </c>
      <c r="O184" s="497">
        <f t="shared" ca="1" si="41"/>
        <v>100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IFERROR(__xludf.DUMMYFUNCTION("IMPORTRANGE(""https://docs.google.com/spreadsheets/d/1MeEWN-I1oV_STSDYn1IFDPWt_1FKiwhDph83XaGc0o0/edit?usp=sharing"",""งบพรบ!CO83"")"),6000)</f>
        <v>6000</v>
      </c>
      <c r="M186" s="92">
        <f ca="1">IFERROR(__xludf.DUMMYFUNCTION("IMPORTRANGE(""https://docs.google.com/spreadsheets/d/1MeEWN-I1oV_STSDYn1IFDPWt_1FKiwhDph83XaGc0o0/edit?usp=sharing"",""งบพรบ!CT83"")"),6000)</f>
        <v>6000</v>
      </c>
      <c r="N186" s="92">
        <f ca="1">IFERROR(__xludf.DUMMYFUNCTION("IMPORTRANGE(""https://docs.google.com/spreadsheets/d/1MeEWN-I1oV_STSDYn1IFDPWt_1FKiwhDph83XaGc0o0/edit?usp=sharing"",""งบพรบ!CV83"")"),6000)</f>
        <v>6000</v>
      </c>
      <c r="O186" s="92">
        <f t="shared" ca="1" si="41"/>
        <v>100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IFERROR(__xludf.DUMMYFUNCTION("IMPORTRANGE(""https://docs.google.com/spreadsheets/d/1MeEWN-I1oV_STSDYn1IFDPWt_1FKiwhDph83XaGc0o0/edit?usp=sharing"",""งบพรบ!CR83"")"),0)</f>
        <v>0</v>
      </c>
      <c r="M189" s="92">
        <f ca="1">IFERROR(__xludf.DUMMYFUNCTION("IMPORTRANGE(""https://docs.google.com/spreadsheets/d/1MeEWN-I1oV_STSDYn1IFDPWt_1FKiwhDph83XaGc0o0/edit?usp=sharing"",""งบพรบ!CU83"")"),0)</f>
        <v>0</v>
      </c>
      <c r="N189" s="92">
        <f ca="1">IFERROR(__xludf.DUMMYFUNCTION("IMPORTRANGE(""https://docs.google.com/spreadsheets/d/1MeEWN-I1oV_STSDYn1IFDPWt_1FKiwhDph83XaGc0o0/edit?usp=sharing"",""งบพรบ!CW83"")"),0)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54" t="s">
        <v>17</v>
      </c>
      <c r="E191" s="147"/>
      <c r="F191" s="147"/>
      <c r="G191" s="150"/>
      <c r="H191" s="274" t="s">
        <v>12</v>
      </c>
      <c r="I191" s="420"/>
      <c r="J191" s="420"/>
      <c r="K191" s="153"/>
      <c r="L191" s="154">
        <f ca="1">IFERROR(__xludf.DUMMYFUNCTION("IMPORTRANGE(""https://docs.google.com/spreadsheets/d/1QqKyyYR6Q21VydFLVH3TRQUabQu_ym0Zz7PgGX0-kHA/edit?usp=sharing"",""แผน!Z83"")"),6000)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47" t="s">
        <v>38</v>
      </c>
      <c r="E192" s="172"/>
      <c r="F192" s="172"/>
      <c r="G192" s="173"/>
      <c r="H192" s="761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7" t="s">
        <v>91</v>
      </c>
      <c r="E193" s="177"/>
      <c r="F193" s="177"/>
      <c r="G193" s="178"/>
      <c r="H193" s="763" t="s">
        <v>90</v>
      </c>
      <c r="I193" s="269">
        <f ca="1">IFERROR(__xludf.DUMMYFUNCTION("IMPORTRANGE(""https://docs.google.com/spreadsheets/d/1QqKyyYR6Q21VydFLVH3TRQUabQu_ym0Zz7PgGX0-kHA/edit?usp=sharing"",""แผน!AC83"")"),4)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7" t="s">
        <v>92</v>
      </c>
      <c r="E194" s="177"/>
      <c r="F194" s="177"/>
      <c r="G194" s="178"/>
      <c r="H194" s="276" t="s">
        <v>35</v>
      </c>
      <c r="I194" s="269"/>
      <c r="J194" s="269">
        <f>J195+J196</f>
        <v>129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7" t="s">
        <v>93</v>
      </c>
      <c r="F195" s="177"/>
      <c r="G195" s="178"/>
      <c r="H195" s="276" t="s">
        <v>35</v>
      </c>
      <c r="I195" s="269"/>
      <c r="J195" s="214">
        <v>129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7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 hidden="1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0</v>
      </c>
      <c r="J197" s="271">
        <f>J204</f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 hidden="1">
      <c r="A198" s="146"/>
      <c r="B198" s="147"/>
      <c r="C198" s="148" t="s">
        <v>16</v>
      </c>
      <c r="D198" s="854" t="s">
        <v>17</v>
      </c>
      <c r="E198" s="147"/>
      <c r="F198" s="147"/>
      <c r="G198" s="150"/>
      <c r="H198" s="274" t="s">
        <v>12</v>
      </c>
      <c r="I198" s="419"/>
      <c r="J198" s="419"/>
      <c r="K198" s="279"/>
      <c r="L198" s="154">
        <f ca="1">L199+L200+L201+L202</f>
        <v>0</v>
      </c>
      <c r="M198" s="154"/>
      <c r="N198" s="154">
        <f>N199+N200+N201+N202</f>
        <v>0</v>
      </c>
      <c r="O198" s="154">
        <f ca="1">IF(L198&gt;0,N198*100/L198,0)</f>
        <v>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 hidden="1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IFERROR(__xludf.DUMMYFUNCTION("IMPORTRANGE(""https://docs.google.com/spreadsheets/d/1QqKyyYR6Q21VydFLVH3TRQUabQu_ym0Zz7PgGX0-kHA/edit?usp=sharing"",""แผน!AE83"")"),0)</f>
        <v>0</v>
      </c>
      <c r="M199" s="497"/>
      <c r="N199" s="826">
        <v>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 hidden="1">
      <c r="A200" s="283"/>
      <c r="B200" s="280"/>
      <c r="C200" s="210"/>
      <c r="D200" s="281" t="s">
        <v>98</v>
      </c>
      <c r="E200" s="32"/>
      <c r="F200" s="32"/>
      <c r="G200" s="34"/>
      <c r="H200" s="622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IFERROR(__xludf.DUMMYFUNCTION("IMPORTRANGE(""https://docs.google.com/spreadsheets/d/1QqKyyYR6Q21VydFLVH3TRQUabQu_ym0Zz7PgGX0-kHA/edit?usp=sharing"",""แผน!AF83"")"),0)</f>
        <v>0</v>
      </c>
      <c r="M200" s="497"/>
      <c r="N200" s="826">
        <v>0</v>
      </c>
      <c r="O200" s="497"/>
      <c r="P200" s="497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 hidden="1">
      <c r="A201" s="283"/>
      <c r="B201" s="280"/>
      <c r="C201" s="210"/>
      <c r="D201" s="281" t="s">
        <v>99</v>
      </c>
      <c r="E201" s="32"/>
      <c r="F201" s="32"/>
      <c r="G201" s="34"/>
      <c r="H201" s="622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IFERROR(__xludf.DUMMYFUNCTION("IMPORTRANGE(""https://docs.google.com/spreadsheets/d/1QqKyyYR6Q21VydFLVH3TRQUabQu_ym0Zz7PgGX0-kHA/edit?usp=sharing"",""แผน!AG83"")"),0)</f>
        <v>0</v>
      </c>
      <c r="M201" s="497"/>
      <c r="N201" s="826">
        <v>0</v>
      </c>
      <c r="O201" s="497"/>
      <c r="P201" s="497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 hidden="1">
      <c r="A202" s="283"/>
      <c r="B202" s="280"/>
      <c r="C202" s="210"/>
      <c r="D202" s="281" t="s">
        <v>100</v>
      </c>
      <c r="E202" s="32"/>
      <c r="F202" s="32"/>
      <c r="G202" s="34"/>
      <c r="H202" s="622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IFERROR(__xludf.DUMMYFUNCTION("IMPORTRANGE(""https://docs.google.com/spreadsheets/d/1QqKyyYR6Q21VydFLVH3TRQUabQu_ym0Zz7PgGX0-kHA/edit?usp=sharing"",""แผน!AH83"")"),0)</f>
        <v>0</v>
      </c>
      <c r="M202" s="497"/>
      <c r="N202" s="826">
        <v>0</v>
      </c>
      <c r="O202" s="497"/>
      <c r="P202" s="497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 hidden="1">
      <c r="A203" s="169"/>
      <c r="B203" s="170"/>
      <c r="C203" s="210" t="s">
        <v>16</v>
      </c>
      <c r="D203" s="847" t="s">
        <v>38</v>
      </c>
      <c r="E203" s="172"/>
      <c r="F203" s="172"/>
      <c r="G203" s="173"/>
      <c r="H203" s="761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 hidden="1">
      <c r="A204" s="169"/>
      <c r="B204" s="170"/>
      <c r="C204" s="170"/>
      <c r="D204" s="175" t="s">
        <v>101</v>
      </c>
      <c r="E204" s="177"/>
      <c r="F204" s="177"/>
      <c r="G204" s="178"/>
      <c r="H204" s="761" t="s">
        <v>96</v>
      </c>
      <c r="I204" s="269">
        <f ca="1">IFERROR(__xludf.DUMMYFUNCTION("IMPORTRANGE(""https://docs.google.com/spreadsheets/d/1QqKyyYR6Q21VydFLVH3TRQUabQu_ym0Zz7PgGX0-kHA/edit?usp=sharing"",""แผน!AI83"")"),0)</f>
        <v>0</v>
      </c>
      <c r="J204" s="214">
        <v>0</v>
      </c>
      <c r="K204" s="162">
        <f ca="1">IF(I204&gt;0,J204*100/I204,0)</f>
        <v>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 hidden="1">
      <c r="A205" s="169"/>
      <c r="B205" s="170"/>
      <c r="C205" s="170"/>
      <c r="D205" s="447" t="s">
        <v>59</v>
      </c>
      <c r="E205" s="177"/>
      <c r="F205" s="177"/>
      <c r="G205" s="178"/>
      <c r="H205" s="761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 hidden="1">
      <c r="A206" s="169"/>
      <c r="B206" s="170"/>
      <c r="C206" s="170"/>
      <c r="D206" s="177"/>
      <c r="E206" s="447" t="s">
        <v>347</v>
      </c>
      <c r="F206" s="177"/>
      <c r="G206" s="178"/>
      <c r="H206" s="761" t="s">
        <v>96</v>
      </c>
      <c r="I206" s="269"/>
      <c r="J206" s="214">
        <v>0</v>
      </c>
      <c r="K206" s="162"/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 hidden="1">
      <c r="A207" s="169"/>
      <c r="B207" s="170"/>
      <c r="C207" s="170"/>
      <c r="D207" s="447"/>
      <c r="E207" s="447" t="s">
        <v>346</v>
      </c>
      <c r="F207" s="177"/>
      <c r="G207" s="178"/>
      <c r="H207" s="763" t="s">
        <v>66</v>
      </c>
      <c r="I207" s="269"/>
      <c r="J207" s="214">
        <v>0</v>
      </c>
      <c r="K207" s="162"/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54" t="s">
        <v>17</v>
      </c>
      <c r="E209" s="147"/>
      <c r="F209" s="147"/>
      <c r="G209" s="150"/>
      <c r="H209" s="274" t="s">
        <v>12</v>
      </c>
      <c r="I209" s="419"/>
      <c r="J209" s="419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IFERROR(__xludf.DUMMYFUNCTION("IMPORTRANGE(""https://docs.google.com/spreadsheets/d/1QqKyyYR6Q21VydFLVH3TRQUabQu_ym0Zz7PgGX0-kHA/edit?usp=sharing"",""แผน!AK83"")"),0)</f>
        <v>0</v>
      </c>
      <c r="M210" s="497"/>
      <c r="N210" s="826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3"/>
      <c r="B211" s="280"/>
      <c r="C211" s="291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IFERROR(__xludf.DUMMYFUNCTION("IMPORTRANGE(""https://docs.google.com/spreadsheets/d/1QqKyyYR6Q21VydFLVH3TRQUabQu_ym0Zz7PgGX0-kHA/edit?usp=sharing"",""แผน!AL83"")"),0)</f>
        <v>0</v>
      </c>
      <c r="M211" s="497"/>
      <c r="N211" s="826">
        <v>0</v>
      </c>
      <c r="O211" s="497"/>
      <c r="P211" s="497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IFERROR(__xludf.DUMMYFUNCTION("IMPORTRANGE(""https://docs.google.com/spreadsheets/d/1QqKyyYR6Q21VydFLVH3TRQUabQu_ym0Zz7PgGX0-kHA/edit?usp=sharing"",""แผน!AM83"")"),0)</f>
        <v>0</v>
      </c>
      <c r="M212" s="497"/>
      <c r="N212" s="826">
        <v>0</v>
      </c>
      <c r="O212" s="497"/>
      <c r="P212" s="497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69"/>
      <c r="B213" s="170"/>
      <c r="C213" s="291" t="s">
        <v>16</v>
      </c>
      <c r="D213" s="847" t="s">
        <v>38</v>
      </c>
      <c r="E213" s="172"/>
      <c r="F213" s="172"/>
      <c r="G213" s="173"/>
      <c r="H213" s="761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61" t="s">
        <v>96</v>
      </c>
      <c r="I214" s="269">
        <f ca="1">IFERROR(__xludf.DUMMYFUNCTION("IMPORTRANGE(""https://docs.google.com/spreadsheets/d/1QqKyyYR6Q21VydFLVH3TRQUabQu_ym0Zz7PgGX0-kHA/edit?usp=sharing"",""แผน!AN83"")"),0)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61" t="s">
        <v>96</v>
      </c>
      <c r="I215" s="269">
        <f ca="1">IFERROR(__xludf.DUMMYFUNCTION("IMPORTRANGE(""https://docs.google.com/spreadsheets/d/1QqKyyYR6Q21VydFLVH3TRQUabQu_ym0Zz7PgGX0-kHA/edit?usp=sharing"",""แผน!AN83"")"),0)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 hidden="1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ca="1">I224</f>
        <v>0</v>
      </c>
      <c r="J216" s="271">
        <f>J224</f>
        <v>0</v>
      </c>
      <c r="K216" s="272">
        <f ca="1">IF(I216&gt;0,J216*100/I216,0)</f>
        <v>0</v>
      </c>
      <c r="L216" s="261"/>
      <c r="M216" s="261"/>
      <c r="N216" s="261"/>
      <c r="O216" s="261"/>
      <c r="P216" s="261"/>
    </row>
    <row r="217" spans="1:26" ht="19.5" hidden="1">
      <c r="A217" s="146"/>
      <c r="B217" s="147"/>
      <c r="C217" s="148" t="s">
        <v>16</v>
      </c>
      <c r="D217" s="854" t="s">
        <v>17</v>
      </c>
      <c r="E217" s="147"/>
      <c r="F217" s="147"/>
      <c r="G217" s="150"/>
      <c r="H217" s="274" t="s">
        <v>12</v>
      </c>
      <c r="I217" s="419"/>
      <c r="J217" s="419"/>
      <c r="K217" s="279"/>
      <c r="L217" s="154">
        <f ca="1">L218+L219+L220</f>
        <v>0</v>
      </c>
      <c r="M217" s="154"/>
      <c r="N217" s="154">
        <f>N218+N219+N220</f>
        <v>0</v>
      </c>
      <c r="O217" s="154">
        <f ca="1">IF(L217&gt;0,N217*100/L217,0)</f>
        <v>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 hidden="1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IFERROR(__xludf.DUMMYFUNCTION("IMPORTRANGE(""https://docs.google.com/spreadsheets/d/1QqKyyYR6Q21VydFLVH3TRQUabQu_ym0Zz7PgGX0-kHA/edit?usp=sharing"",""แผน!AP83"")"),0)</f>
        <v>0</v>
      </c>
      <c r="M218" s="497"/>
      <c r="N218" s="826">
        <v>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 hidden="1">
      <c r="A219" s="283"/>
      <c r="B219" s="280"/>
      <c r="C219" s="291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IFERROR(__xludf.DUMMYFUNCTION("IMPORTRANGE(""https://docs.google.com/spreadsheets/d/1QqKyyYR6Q21VydFLVH3TRQUabQu_ym0Zz7PgGX0-kHA/edit?usp=sharing"",""แผน!AQ83"")"),0)</f>
        <v>0</v>
      </c>
      <c r="M219" s="497"/>
      <c r="N219" s="826">
        <v>0</v>
      </c>
      <c r="O219" s="497"/>
      <c r="P219" s="497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 hidden="1">
      <c r="A220" s="283"/>
      <c r="B220" s="280"/>
      <c r="C220" s="291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IFERROR(__xludf.DUMMYFUNCTION("IMPORTRANGE(""https://docs.google.com/spreadsheets/d/1QqKyyYR6Q21VydFLVH3TRQUabQu_ym0Zz7PgGX0-kHA/edit?usp=sharing"",""แผน!AR83"")"),0)</f>
        <v>0</v>
      </c>
      <c r="M220" s="497"/>
      <c r="N220" s="826">
        <v>0</v>
      </c>
      <c r="O220" s="497"/>
      <c r="P220" s="497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 hidden="1">
      <c r="A221" s="169"/>
      <c r="B221" s="170"/>
      <c r="C221" s="291" t="s">
        <v>16</v>
      </c>
      <c r="D221" s="847" t="s">
        <v>38</v>
      </c>
      <c r="E221" s="172"/>
      <c r="F221" s="172"/>
      <c r="G221" s="173"/>
      <c r="H221" s="761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 hidden="1">
      <c r="A222" s="169"/>
      <c r="B222" s="170"/>
      <c r="C222" s="170"/>
      <c r="D222" s="281" t="s">
        <v>111</v>
      </c>
      <c r="E222" s="177"/>
      <c r="F222" s="177"/>
      <c r="G222" s="178"/>
      <c r="H222" s="761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 hidden="1">
      <c r="A223" s="169"/>
      <c r="B223" s="170"/>
      <c r="C223" s="170"/>
      <c r="D223" s="170"/>
      <c r="E223" s="175" t="s">
        <v>112</v>
      </c>
      <c r="F223" s="177"/>
      <c r="G223" s="178"/>
      <c r="H223" s="763" t="s">
        <v>109</v>
      </c>
      <c r="I223" s="269">
        <f ca="1">IFERROR(__xludf.DUMMYFUNCTION("IMPORTRANGE(""https://docs.google.com/spreadsheets/d/1QqKyyYR6Q21VydFLVH3TRQUabQu_ym0Zz7PgGX0-kHA/edit?usp=sharing"",""แผน!AT83"")"),0)</f>
        <v>0</v>
      </c>
      <c r="J223" s="214">
        <v>0</v>
      </c>
      <c r="K223" s="162">
        <f ca="1">IF(I223&gt;0,J223*100/I223,0)</f>
        <v>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 hidden="1">
      <c r="A224" s="169"/>
      <c r="B224" s="170"/>
      <c r="C224" s="170"/>
      <c r="D224" s="170"/>
      <c r="E224" s="175" t="s">
        <v>113</v>
      </c>
      <c r="F224" s="177"/>
      <c r="G224" s="178"/>
      <c r="H224" s="763" t="s">
        <v>109</v>
      </c>
      <c r="I224" s="269">
        <f ca="1">IFERROR(__xludf.DUMMYFUNCTION("IMPORTRANGE(""https://docs.google.com/spreadsheets/d/1QqKyyYR6Q21VydFLVH3TRQUabQu_ym0Zz7PgGX0-kHA/edit?usp=sharing"",""แผน!AT83"")"),0)</f>
        <v>0</v>
      </c>
      <c r="J224" s="214">
        <v>0</v>
      </c>
      <c r="K224" s="162">
        <f ca="1">IF(I224&gt;0,J224*100/I224,0)</f>
        <v>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 hidden="1">
      <c r="A225" s="169"/>
      <c r="B225" s="170"/>
      <c r="C225" s="170"/>
      <c r="D225" s="281" t="s">
        <v>114</v>
      </c>
      <c r="E225" s="177"/>
      <c r="F225" s="177"/>
      <c r="G225" s="178"/>
      <c r="H225" s="763" t="s">
        <v>35</v>
      </c>
      <c r="I225" s="269">
        <f ca="1">IFERROR(__xludf.DUMMYFUNCTION("IMPORTRANGE(""https://docs.google.com/spreadsheets/d/1QqKyyYR6Q21VydFLVH3TRQUabQu_ym0Zz7PgGX0-kHA/edit?usp=sharing"",""แผน!AS83"")"),0)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0</v>
      </c>
      <c r="J226" s="344">
        <f>J237+J248</f>
        <v>0</v>
      </c>
      <c r="K226" s="345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0</v>
      </c>
      <c r="M227" s="355"/>
      <c r="N227" s="355">
        <f>N238+N249</f>
        <v>0</v>
      </c>
      <c r="O227" s="855"/>
      <c r="P227" s="85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6"/>
      <c r="J229" s="616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6"/>
      <c r="J230" s="616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6"/>
      <c r="J231" s="616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6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6">
        <f ca="1">I244+I255</f>
        <v>0</v>
      </c>
      <c r="J233" s="616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6"/>
      <c r="J234" s="616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6">
        <f>I246+I257</f>
        <v>0</v>
      </c>
      <c r="J235" s="616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6">
        <f>I247+I258</f>
        <v>0</v>
      </c>
      <c r="J236" s="616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270" t="s">
        <v>332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46" t="s">
        <v>17</v>
      </c>
      <c r="E238" s="147"/>
      <c r="F238" s="147"/>
      <c r="G238" s="150"/>
      <c r="H238" s="274" t="s">
        <v>12</v>
      </c>
      <c r="I238" s="419"/>
      <c r="J238" s="419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IFERROR(__xludf.DUMMYFUNCTION("IMPORTRANGE(""https://docs.google.com/spreadsheets/d/1QqKyyYR6Q21VydFLVH3TRQUabQu_ym0Zz7PgGX0-kHA/edit?usp=sharing"",""แผน!AV83"")"),0)</f>
        <v>0</v>
      </c>
      <c r="M239" s="321"/>
      <c r="N239" s="853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IFERROR(__xludf.DUMMYFUNCTION("IMPORTRANGE(""https://docs.google.com/spreadsheets/d/1QqKyyYR6Q21VydFLVH3TRQUabQu_ym0Zz7PgGX0-kHA/edit?usp=sharing"",""แผน!AW83"")"),0)</f>
        <v>0</v>
      </c>
      <c r="M240" s="321"/>
      <c r="N240" s="853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IFERROR(__xludf.DUMMYFUNCTION("IMPORTRANGE(""https://docs.google.com/spreadsheets/d/1QqKyyYR6Q21VydFLVH3TRQUabQu_ym0Zz7PgGX0-kHA/edit?usp=sharing"",""แผน!AX83"")"),0)</f>
        <v>0</v>
      </c>
      <c r="M241" s="321"/>
      <c r="N241" s="853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IFERROR(__xludf.DUMMYFUNCTION("IMPORTRANGE(""https://docs.google.com/spreadsheets/d/1QqKyyYR6Q21VydFLVH3TRQUabQu_ym0Zz7PgGX0-kHA/edit?usp=sharing"",""แผน!AY83"")"),0)</f>
        <v>0</v>
      </c>
      <c r="M242" s="321"/>
      <c r="N242" s="853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1" t="s">
        <v>16</v>
      </c>
      <c r="D243" s="847" t="s">
        <v>38</v>
      </c>
      <c r="E243" s="172"/>
      <c r="F243" s="172"/>
      <c r="G243" s="173"/>
      <c r="H243" s="761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47" t="s">
        <v>117</v>
      </c>
      <c r="E244" s="177"/>
      <c r="F244" s="177"/>
      <c r="G244" s="178"/>
      <c r="H244" s="763" t="s">
        <v>35</v>
      </c>
      <c r="I244" s="269">
        <f ca="1">IFERROR(__xludf.DUMMYFUNCTION("IMPORTRANGE(""https://docs.google.com/spreadsheets/d/1QqKyyYR6Q21VydFLVH3TRQUabQu_ym0Zz7PgGX0-kHA/edit?usp=sharing"",""แผน!BE83"")"),0)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852" t="s">
        <v>43</v>
      </c>
      <c r="E245" s="177"/>
      <c r="F245" s="177"/>
      <c r="G245" s="178"/>
      <c r="H245" s="763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175" t="s">
        <v>118</v>
      </c>
      <c r="F246" s="177"/>
      <c r="G246" s="178"/>
      <c r="H246" s="763" t="s">
        <v>35</v>
      </c>
      <c r="I246" s="269"/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763" t="s">
        <v>66</v>
      </c>
      <c r="I247" s="269"/>
      <c r="J247" s="214">
        <v>0</v>
      </c>
      <c r="K247" s="497">
        <f>IF(I247&gt;0,J247*100/I247,0)</f>
        <v>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54" t="s">
        <v>17</v>
      </c>
      <c r="E249" s="147"/>
      <c r="F249" s="147"/>
      <c r="G249" s="150"/>
      <c r="H249" s="274" t="s">
        <v>12</v>
      </c>
      <c r="I249" s="419"/>
      <c r="J249" s="419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IFERROR(__xludf.DUMMYFUNCTION("IMPORTRANGE(""https://docs.google.com/spreadsheets/d/1QqKyyYR6Q21VydFLVH3TRQUabQu_ym0Zz7PgGX0-kHA/edit?usp=sharing"",""แผน!AZ83"")"),0)</f>
        <v>0</v>
      </c>
      <c r="M250" s="321"/>
      <c r="N250" s="853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IFERROR(__xludf.DUMMYFUNCTION("IMPORTRANGE(""https://docs.google.com/spreadsheets/d/1QqKyyYR6Q21VydFLVH3TRQUabQu_ym0Zz7PgGX0-kHA/edit?usp=sharing"",""แผน!BA83"")"),0)</f>
        <v>0</v>
      </c>
      <c r="M251" s="321"/>
      <c r="N251" s="853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IFERROR(__xludf.DUMMYFUNCTION("IMPORTRANGE(""https://docs.google.com/spreadsheets/d/1QqKyyYR6Q21VydFLVH3TRQUabQu_ym0Zz7PgGX0-kHA/edit?usp=sharing"",""แผน!BB83"")"),0)</f>
        <v>0</v>
      </c>
      <c r="M252" s="321"/>
      <c r="N252" s="853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IFERROR(__xludf.DUMMYFUNCTION("IMPORTRANGE(""https://docs.google.com/spreadsheets/d/1QqKyyYR6Q21VydFLVH3TRQUabQu_ym0Zz7PgGX0-kHA/edit?usp=sharing"",""แผน!BC83"")"),0)</f>
        <v>0</v>
      </c>
      <c r="M253" s="321"/>
      <c r="N253" s="853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1" t="s">
        <v>16</v>
      </c>
      <c r="D254" s="847" t="s">
        <v>38</v>
      </c>
      <c r="E254" s="172"/>
      <c r="F254" s="172"/>
      <c r="G254" s="173"/>
      <c r="H254" s="761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7" t="s">
        <v>117</v>
      </c>
      <c r="E255" s="177"/>
      <c r="F255" s="177"/>
      <c r="G255" s="178"/>
      <c r="H255" s="763" t="s">
        <v>35</v>
      </c>
      <c r="I255" s="269">
        <f ca="1">IFERROR(__xludf.DUMMYFUNCTION("IMPORTRANGE(""https://docs.google.com/spreadsheets/d/1QqKyyYR6Q21VydFLVH3TRQUabQu_ym0Zz7PgGX0-kHA/edit?usp=sharing"",""แผน!BF83"")"),0)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52" t="s">
        <v>43</v>
      </c>
      <c r="E256" s="177"/>
      <c r="F256" s="177"/>
      <c r="G256" s="178"/>
      <c r="H256" s="763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63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63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20</v>
      </c>
      <c r="J260" s="252">
        <f>J271</f>
        <v>20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46" t="s">
        <v>17</v>
      </c>
      <c r="E261" s="147"/>
      <c r="F261" s="147"/>
      <c r="G261" s="150"/>
      <c r="H261" s="151" t="s">
        <v>12</v>
      </c>
      <c r="I261" s="420"/>
      <c r="J261" s="420"/>
      <c r="K261" s="153"/>
      <c r="L261" s="154">
        <f ca="1">L262+L263</f>
        <v>25000</v>
      </c>
      <c r="M261" s="154">
        <f ca="1">M262+M263</f>
        <v>25000</v>
      </c>
      <c r="N261" s="154">
        <f ca="1">N262+N263</f>
        <v>25000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6"/>
      <c r="J262" s="616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6"/>
      <c r="J263" s="616"/>
      <c r="K263" s="92"/>
      <c r="L263" s="92">
        <f t="shared" ca="1" si="46"/>
        <v>25000</v>
      </c>
      <c r="M263" s="92">
        <f t="shared" ca="1" si="46"/>
        <v>25000</v>
      </c>
      <c r="N263" s="92">
        <f t="shared" ca="1" si="46"/>
        <v>25000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25000</v>
      </c>
      <c r="M264" s="497">
        <f ca="1">M265+M266</f>
        <v>25000</v>
      </c>
      <c r="N264" s="497">
        <f ca="1">N265+N266</f>
        <v>25000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IFERROR(__xludf.DUMMYFUNCTION("IMPORTRANGE(""https://docs.google.com/spreadsheets/d/1MeEWN-I1oV_STSDYn1IFDPWt_1FKiwhDph83XaGc0o0/edit?usp=sharing"",""งบพรบ!CY83"")"),25000)</f>
        <v>25000</v>
      </c>
      <c r="M266" s="92">
        <f ca="1">IFERROR(__xludf.DUMMYFUNCTION("IMPORTRANGE(""https://docs.google.com/spreadsheets/d/1MeEWN-I1oV_STSDYn1IFDPWt_1FKiwhDph83XaGc0o0/edit?usp=sharing"",""งบพรบ!DD83"")"),25000)</f>
        <v>25000</v>
      </c>
      <c r="N266" s="92">
        <f ca="1">IFERROR(__xludf.DUMMYFUNCTION("IMPORTRANGE(""https://docs.google.com/spreadsheets/d/1MeEWN-I1oV_STSDYn1IFDPWt_1FKiwhDph83XaGc0o0/edit?usp=sharing"",""งบพรบ!DF83"")"),25000)</f>
        <v>25000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IFERROR(__xludf.DUMMYFUNCTION("IMPORTRANGE(""https://docs.google.com/spreadsheets/d/1MeEWN-I1oV_STSDYn1IFDPWt_1FKiwhDph83XaGc0o0/edit?usp=sharing"",""งบพรบ!DB83"")"),0)</f>
        <v>0</v>
      </c>
      <c r="M269" s="92">
        <f ca="1">IFERROR(__xludf.DUMMYFUNCTION("IMPORTRANGE(""https://docs.google.com/spreadsheets/d/1MeEWN-I1oV_STSDYn1IFDPWt_1FKiwhDph83XaGc0o0/edit?usp=sharing"",""งบพรบ!DE83"")"),0)</f>
        <v>0</v>
      </c>
      <c r="N269" s="92">
        <f ca="1">IFERROR(__xludf.DUMMYFUNCTION("IMPORTRANGE(""https://docs.google.com/spreadsheets/d/1MeEWN-I1oV_STSDYn1IFDPWt_1FKiwhDph83XaGc0o0/edit?usp=sharing"",""งบพรบ!DG83"")"),0)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47" t="s">
        <v>38</v>
      </c>
      <c r="E270" s="172"/>
      <c r="F270" s="172"/>
      <c r="G270" s="173"/>
      <c r="H270" s="761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IFERROR(__xludf.DUMMYFUNCTION("IMPORTRANGE(""https://docs.google.com/spreadsheets/d/1QqKyyYR6Q21VydFLVH3TRQUabQu_ym0Zz7PgGX0-kHA/edit?usp=sharing"",""แผน!EA83"")"),20)</f>
        <v>20</v>
      </c>
      <c r="J271" s="214">
        <v>20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5">
        <v>0</v>
      </c>
      <c r="J272" s="505">
        <v>0</v>
      </c>
      <c r="K272" s="384">
        <v>0</v>
      </c>
      <c r="L272" s="384"/>
      <c r="M272" s="384"/>
      <c r="N272" s="384"/>
      <c r="O272" s="384"/>
      <c r="P272" s="384"/>
    </row>
    <row r="273" spans="1:26" ht="19.5" hidden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9">
        <f ca="1">I287</f>
        <v>0</v>
      </c>
      <c r="J276" s="409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46" t="s">
        <v>17</v>
      </c>
      <c r="E277" s="147"/>
      <c r="F277" s="147"/>
      <c r="G277" s="150"/>
      <c r="H277" s="151" t="s">
        <v>12</v>
      </c>
      <c r="I277" s="420"/>
      <c r="J277" s="420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6"/>
      <c r="J278" s="616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6"/>
      <c r="J279" s="616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IFERROR(__xludf.DUMMYFUNCTION("IMPORTRANGE(""https://docs.google.com/spreadsheets/d/1MeEWN-I1oV_STSDYn1IFDPWt_1FKiwhDph83XaGc0o0/edit?usp=sharing"",""งบพรบ!DI83"")"),0)</f>
        <v>0</v>
      </c>
      <c r="M282" s="92">
        <f ca="1">IFERROR(__xludf.DUMMYFUNCTION("IMPORTRANGE(""https://docs.google.com/spreadsheets/d/1MeEWN-I1oV_STSDYn1IFDPWt_1FKiwhDph83XaGc0o0/edit?usp=sharing"",""งบพรบ!DN83"")"),0)</f>
        <v>0</v>
      </c>
      <c r="N282" s="92">
        <f ca="1">IFERROR(__xludf.DUMMYFUNCTION("IMPORTRANGE(""https://docs.google.com/spreadsheets/d/1MeEWN-I1oV_STSDYn1IFDPWt_1FKiwhDph83XaGc0o0/edit?usp=sharing"",""งบพรบ!DP83"")"),0)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IFERROR(__xludf.DUMMYFUNCTION("IMPORTRANGE(""https://docs.google.com/spreadsheets/d/1MeEWN-I1oV_STSDYn1IFDPWt_1FKiwhDph83XaGc0o0/edit?usp=sharing"",""งบพรบ!DL83"")"),0)</f>
        <v>0</v>
      </c>
      <c r="M285" s="92">
        <f ca="1">IFERROR(__xludf.DUMMYFUNCTION("IMPORTRANGE(""https://docs.google.com/spreadsheets/d/1MeEWN-I1oV_STSDYn1IFDPWt_1FKiwhDph83XaGc0o0/edit?usp=sharing"",""งบพรบ!DO83"")"),0)</f>
        <v>0</v>
      </c>
      <c r="N285" s="92">
        <f ca="1">IFERROR(__xludf.DUMMYFUNCTION("IMPORTRANGE(""https://docs.google.com/spreadsheets/d/1MeEWN-I1oV_STSDYn1IFDPWt_1FKiwhDph83XaGc0o0/edit?usp=sharing"",""งบพรบ!DQ83"")"),0)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47" t="s">
        <v>38</v>
      </c>
      <c r="E286" s="172"/>
      <c r="F286" s="172"/>
      <c r="G286" s="173"/>
      <c r="H286" s="761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5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IFERROR(__xludf.DUMMYFUNCTION("IMPORTRANGE(""https://docs.google.com/spreadsheets/d/1QqKyyYR6Q21VydFLVH3TRQUabQu_ym0Zz7PgGX0-kHA/edit?usp=sharing"",""แผน!EC83"")"),0)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5" t="s">
        <v>130</v>
      </c>
      <c r="E288" s="170"/>
      <c r="F288" s="177"/>
      <c r="G288" s="178"/>
      <c r="H288" s="179" t="s">
        <v>35</v>
      </c>
      <c r="I288" s="680">
        <f ca="1">IFERROR(__xludf.DUMMYFUNCTION("IMPORTRANGE(""https://docs.google.com/spreadsheets/d/1QqKyyYR6Q21VydFLVH3TRQUabQu_ym0Zz7PgGX0-kHA/edit?usp=sharing"",""แผน!EB83"")"),0)</f>
        <v>0</v>
      </c>
      <c r="J288" s="680">
        <f ca="1">IF(AND(J291&gt;=I288,J294&gt;=I288),J294,0)</f>
        <v>0</v>
      </c>
      <c r="K288" s="411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2"/>
      <c r="E289" s="413" t="s">
        <v>131</v>
      </c>
      <c r="F289" s="177"/>
      <c r="G289" s="178"/>
      <c r="H289" s="763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2"/>
      <c r="E290" s="625" t="s">
        <v>132</v>
      </c>
      <c r="F290" s="177"/>
      <c r="G290" s="178"/>
      <c r="H290" s="763" t="s">
        <v>35</v>
      </c>
      <c r="I290" s="183">
        <f ca="1">IFERROR(__xludf.DUMMYFUNCTION("IMPORTRANGE(""https://docs.google.com/spreadsheets/d/1QqKyyYR6Q21VydFLVH3TRQUabQu_ym0Zz7PgGX0-kHA/edit?usp=sharing"",""แผน!EB83"")"),0)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5" t="s">
        <v>336</v>
      </c>
      <c r="F291" s="177"/>
      <c r="G291" s="178"/>
      <c r="H291" s="763" t="s">
        <v>35</v>
      </c>
      <c r="I291" s="183">
        <f ca="1">IFERROR(__xludf.DUMMYFUNCTION("IMPORTRANGE(""https://docs.google.com/spreadsheets/d/1QqKyyYR6Q21VydFLVH3TRQUabQu_ym0Zz7PgGX0-kHA/edit?usp=sharing"",""แผน!EB83"")"),0)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4"/>
      <c r="B292" s="415"/>
      <c r="C292" s="415"/>
      <c r="D292" s="416"/>
      <c r="E292" s="417" t="s">
        <v>134</v>
      </c>
      <c r="F292" s="286"/>
      <c r="G292" s="287"/>
      <c r="H292" s="418"/>
      <c r="I292" s="419"/>
      <c r="J292" s="420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2"/>
      <c r="E293" s="625" t="s">
        <v>132</v>
      </c>
      <c r="F293" s="177"/>
      <c r="G293" s="178"/>
      <c r="H293" s="763" t="s">
        <v>35</v>
      </c>
      <c r="I293" s="183">
        <f ca="1">IFERROR(__xludf.DUMMYFUNCTION("IMPORTRANGE(""https://docs.google.com/spreadsheets/d/1QqKyyYR6Q21VydFLVH3TRQUabQu_ym0Zz7PgGX0-kHA/edit?usp=sharing"",""แผน!EB83"")"),0)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33" t="s">
        <v>336</v>
      </c>
      <c r="F294" s="380"/>
      <c r="G294" s="381"/>
      <c r="H294" s="422" t="s">
        <v>35</v>
      </c>
      <c r="I294" s="423">
        <f ca="1">IFERROR(__xludf.DUMMYFUNCTION("IMPORTRANGE(""https://docs.google.com/spreadsheets/d/1QqKyyYR6Q21VydFLVH3TRQUabQu_ym0Zz7PgGX0-kHA/edit?usp=sharing"",""แผน!EB83"")"),0)</f>
        <v>0</v>
      </c>
      <c r="J294" s="424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0</v>
      </c>
      <c r="J297" s="444">
        <f>J309</f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6"/>
      <c r="B298" s="147"/>
      <c r="C298" s="148" t="s">
        <v>16</v>
      </c>
      <c r="D298" s="846" t="s">
        <v>17</v>
      </c>
      <c r="E298" s="147"/>
      <c r="F298" s="147"/>
      <c r="G298" s="150"/>
      <c r="H298" s="151" t="s">
        <v>12</v>
      </c>
      <c r="I298" s="420"/>
      <c r="J298" s="420"/>
      <c r="K298" s="153"/>
      <c r="L298" s="154">
        <f ca="1">L299+L300</f>
        <v>0</v>
      </c>
      <c r="M298" s="154">
        <f ca="1">M299+M300</f>
        <v>0</v>
      </c>
      <c r="N298" s="154">
        <f ca="1">N299+N300</f>
        <v>0</v>
      </c>
      <c r="O298" s="154">
        <f t="shared" ref="O298:O306" ca="1" si="50">IF(L298&gt;0,N298*100/L298,0)</f>
        <v>0</v>
      </c>
      <c r="P298" s="154">
        <f t="shared" ref="P298:P306" ca="1" si="51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6"/>
      <c r="J299" s="616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6"/>
      <c r="J300" s="616"/>
      <c r="K300" s="92"/>
      <c r="L300" s="92">
        <f t="shared" ca="1" si="52"/>
        <v>0</v>
      </c>
      <c r="M300" s="92">
        <f t="shared" ca="1" si="52"/>
        <v>0</v>
      </c>
      <c r="N300" s="92">
        <f t="shared" ca="1" si="52"/>
        <v>0</v>
      </c>
      <c r="O300" s="92">
        <f t="shared" ca="1" si="50"/>
        <v>0</v>
      </c>
      <c r="P300" s="92">
        <f t="shared" ca="1" si="51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0</v>
      </c>
      <c r="M301" s="497">
        <f ca="1">M302+M303</f>
        <v>0</v>
      </c>
      <c r="N301" s="497">
        <f ca="1">N302+N303</f>
        <v>0</v>
      </c>
      <c r="O301" s="497">
        <f t="shared" ca="1" si="50"/>
        <v>0</v>
      </c>
      <c r="P301" s="497">
        <f t="shared" ca="1" si="51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IFERROR(__xludf.DUMMYFUNCTION("IMPORTRANGE(""https://docs.google.com/spreadsheets/d/1MeEWN-I1oV_STSDYn1IFDPWt_1FKiwhDph83XaGc0o0/edit?usp=sharing"",""งบพรบ!DS83"")"),0)</f>
        <v>0</v>
      </c>
      <c r="M303" s="92">
        <f ca="1">IFERROR(__xludf.DUMMYFUNCTION("IMPORTRANGE(""https://docs.google.com/spreadsheets/d/1MeEWN-I1oV_STSDYn1IFDPWt_1FKiwhDph83XaGc0o0/edit?usp=sharing"",""งบพรบ!DX83"")"),0)</f>
        <v>0</v>
      </c>
      <c r="N303" s="92">
        <f ca="1">IFERROR(__xludf.DUMMYFUNCTION("IMPORTRANGE(""https://docs.google.com/spreadsheets/d/1MeEWN-I1oV_STSDYn1IFDPWt_1FKiwhDph83XaGc0o0/edit?usp=sharing"",""งบพรบ!DZ83"")"),0)</f>
        <v>0</v>
      </c>
      <c r="O303" s="92">
        <f t="shared" ca="1" si="50"/>
        <v>0</v>
      </c>
      <c r="P303" s="92">
        <f t="shared" ca="1" si="51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IFERROR(__xludf.DUMMYFUNCTION("IMPORTRANGE(""https://docs.google.com/spreadsheets/d/1MeEWN-I1oV_STSDYn1IFDPWt_1FKiwhDph83XaGc0o0/edit?usp=sharing"",""งบพรบ!DV83"")"),0)</f>
        <v>0</v>
      </c>
      <c r="M306" s="92">
        <f ca="1">IFERROR(__xludf.DUMMYFUNCTION("IMPORTRANGE(""https://docs.google.com/spreadsheets/d/1MeEWN-I1oV_STSDYn1IFDPWt_1FKiwhDph83XaGc0o0/edit?usp=sharing"",""งบพรบ!DY83"")"),0)</f>
        <v>0</v>
      </c>
      <c r="N306" s="92">
        <f ca="1">IFERROR(__xludf.DUMMYFUNCTION("IMPORTRANGE(""https://docs.google.com/spreadsheets/d/1MeEWN-I1oV_STSDYn1IFDPWt_1FKiwhDph83XaGc0o0/edit?usp=sharing"",""งบพรบ!EA83"")"),0)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47" t="s">
        <v>38</v>
      </c>
      <c r="E307" s="172"/>
      <c r="F307" s="172"/>
      <c r="G307" s="173"/>
      <c r="H307" s="761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69"/>
      <c r="B308" s="170"/>
      <c r="C308" s="170"/>
      <c r="D308" s="447" t="s">
        <v>140</v>
      </c>
      <c r="E308" s="447"/>
      <c r="F308" s="447"/>
      <c r="G308" s="178"/>
      <c r="H308" s="763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69"/>
      <c r="B309" s="170"/>
      <c r="C309" s="170"/>
      <c r="D309" s="447" t="s">
        <v>141</v>
      </c>
      <c r="E309" s="447"/>
      <c r="F309" s="447"/>
      <c r="G309" s="178"/>
      <c r="H309" s="763" t="s">
        <v>35</v>
      </c>
      <c r="I309" s="269">
        <f ca="1">IFERROR(__xludf.DUMMYFUNCTION("IMPORTRANGE(""https://docs.google.com/spreadsheets/d/1QqKyyYR6Q21VydFLVH3TRQUabQu_ym0Zz7PgGX0-kHA/edit?usp=sharing"",""แผน!ED83"")"),0)</f>
        <v>0</v>
      </c>
      <c r="J309" s="214">
        <v>0</v>
      </c>
      <c r="K309" s="497">
        <f ca="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69"/>
      <c r="B310" s="170"/>
      <c r="C310" s="170"/>
      <c r="D310" s="447" t="s">
        <v>142</v>
      </c>
      <c r="E310" s="447"/>
      <c r="F310" s="447"/>
      <c r="G310" s="178"/>
      <c r="H310" s="763" t="s">
        <v>35</v>
      </c>
      <c r="I310" s="269">
        <f ca="1">IFERROR(__xludf.DUMMYFUNCTION("IMPORTRANGE(""https://docs.google.com/spreadsheets/d/1QqKyyYR6Q21VydFLVH3TRQUabQu_ym0Zz7PgGX0-kHA/edit?usp=sharing"",""แผน!ED83"")"),0)</f>
        <v>0</v>
      </c>
      <c r="J310" s="214">
        <v>0</v>
      </c>
      <c r="K310" s="497">
        <f ca="1">IF(I310&gt;0,J310*100/I310,0)</f>
        <v>0</v>
      </c>
      <c r="L310" s="497"/>
      <c r="M310" s="497"/>
      <c r="N310" s="497"/>
      <c r="O310" s="497"/>
      <c r="P310" s="497"/>
    </row>
    <row r="311" spans="1:26" ht="18.75" hidden="1">
      <c r="A311" s="169"/>
      <c r="B311" s="170"/>
      <c r="C311" s="170"/>
      <c r="D311" s="447" t="s">
        <v>59</v>
      </c>
      <c r="E311" s="447"/>
      <c r="F311" s="447"/>
      <c r="G311" s="178"/>
      <c r="H311" s="763" t="s">
        <v>35</v>
      </c>
      <c r="I311" s="269">
        <f ca="1">IFERROR(__xludf.DUMMYFUNCTION("IMPORTRANGE(""https://docs.google.com/spreadsheets/d/1QqKyyYR6Q21VydFLVH3TRQUabQu_ym0Zz7PgGX0-kHA/edit?usp=sharing"",""แผน!ED83"")"),0)</f>
        <v>0</v>
      </c>
      <c r="J311" s="214">
        <v>0</v>
      </c>
      <c r="K311" s="497">
        <f ca="1">IF(I311&gt;0,J311*100/I311,0)</f>
        <v>0</v>
      </c>
      <c r="L311" s="497"/>
      <c r="M311" s="497"/>
      <c r="N311" s="497"/>
      <c r="O311" s="497"/>
      <c r="P311" s="497"/>
    </row>
    <row r="312" spans="1:26" ht="18.75" hidden="1">
      <c r="A312" s="169"/>
      <c r="B312" s="170"/>
      <c r="C312" s="170"/>
      <c r="D312" s="447" t="s">
        <v>143</v>
      </c>
      <c r="E312" s="447"/>
      <c r="F312" s="447"/>
      <c r="G312" s="178"/>
      <c r="H312" s="763" t="s">
        <v>35</v>
      </c>
      <c r="I312" s="269">
        <f ca="1">IFERROR(__xludf.DUMMYFUNCTION("IMPORTRANGE(""https://docs.google.com/spreadsheets/d/1QqKyyYR6Q21VydFLVH3TRQUabQu_ym0Zz7PgGX0-kHA/edit?usp=sharing"",""แผน!EE83"")"),0)</f>
        <v>0</v>
      </c>
      <c r="J312" s="214">
        <v>0</v>
      </c>
      <c r="K312" s="497">
        <f ca="1">IF(I312&gt;0,J312*100/I312,0)</f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0</v>
      </c>
      <c r="J314" s="444">
        <f>J325</f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6"/>
      <c r="B315" s="147"/>
      <c r="C315" s="148" t="s">
        <v>16</v>
      </c>
      <c r="D315" s="846" t="s">
        <v>17</v>
      </c>
      <c r="E315" s="147"/>
      <c r="F315" s="147"/>
      <c r="G315" s="150"/>
      <c r="H315" s="151" t="s">
        <v>12</v>
      </c>
      <c r="I315" s="420"/>
      <c r="J315" s="420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6"/>
      <c r="J316" s="616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6"/>
      <c r="J317" s="616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IFERROR(__xludf.DUMMYFUNCTION("IMPORTRANGE(""https://docs.google.com/spreadsheets/d/1MeEWN-I1oV_STSDYn1IFDPWt_1FKiwhDph83XaGc0o0/edit?usp=sharing"",""งบพรบ!EC83"")"),0)</f>
        <v>0</v>
      </c>
      <c r="M320" s="92">
        <f ca="1">IFERROR(__xludf.DUMMYFUNCTION("IMPORTRANGE(""https://docs.google.com/spreadsheets/d/1MeEWN-I1oV_STSDYn1IFDPWt_1FKiwhDph83XaGc0o0/edit?usp=sharing"",""งบพรบ!EH83"")"),0)</f>
        <v>0</v>
      </c>
      <c r="N320" s="92">
        <f ca="1">IFERROR(__xludf.DUMMYFUNCTION("IMPORTRANGE(""https://docs.google.com/spreadsheets/d/1MeEWN-I1oV_STSDYn1IFDPWt_1FKiwhDph83XaGc0o0/edit?usp=sharing"",""งบพรบ!EJ83"")"),0)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IFERROR(__xludf.DUMMYFUNCTION("IMPORTRANGE(""https://docs.google.com/spreadsheets/d/1MeEWN-I1oV_STSDYn1IFDPWt_1FKiwhDph83XaGc0o0/edit?usp=sharing"",""งบพรบ!EF83"")"),0)</f>
        <v>0</v>
      </c>
      <c r="M323" s="92">
        <f ca="1">IFERROR(__xludf.DUMMYFUNCTION("IMPORTRANGE(""https://docs.google.com/spreadsheets/d/1MeEWN-I1oV_STSDYn1IFDPWt_1FKiwhDph83XaGc0o0/edit?usp=sharing"",""งบพรบ!EI83"")"),0)</f>
        <v>0</v>
      </c>
      <c r="N323" s="92">
        <f ca="1">IFERROR(__xludf.DUMMYFUNCTION("IMPORTRANGE(""https://docs.google.com/spreadsheets/d/1MeEWN-I1oV_STSDYn1IFDPWt_1FKiwhDph83XaGc0o0/edit?usp=sharing"",""งบพรบ!EK83"")"),0)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47" t="s">
        <v>38</v>
      </c>
      <c r="E324" s="172"/>
      <c r="F324" s="172"/>
      <c r="G324" s="173"/>
      <c r="H324" s="761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7"/>
      <c r="G325" s="178"/>
      <c r="H325" s="622" t="s">
        <v>146</v>
      </c>
      <c r="I325" s="269">
        <f ca="1">IFERROR(__xludf.DUMMYFUNCTION("IMPORTRANGE(""https://docs.google.com/spreadsheets/d/1QqKyyYR6Q21VydFLVH3TRQUabQu_ym0Zz7PgGX0-kHA/edit?usp=sharing"",""แผน!EF83"")"),0)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IFERROR(__xludf.DUMMYFUNCTION("IMPORTRANGE(""https://docs.google.com/spreadsheets/d/1QqKyyYR6Q21VydFLVH3TRQUabQu_ym0Zz7PgGX0-kHA/edit?usp=sharing"",""แผน!EG83"")"),180)</f>
        <v>180</v>
      </c>
      <c r="J327" s="444">
        <f ca="1">J338+J341+J342+J343</f>
        <v>224</v>
      </c>
      <c r="K327" s="445">
        <f ca="1">IF(I327&gt;0,J327*100/I327,0)</f>
        <v>124.44444444444444</v>
      </c>
      <c r="L327" s="446"/>
      <c r="M327" s="446"/>
      <c r="N327" s="446"/>
      <c r="O327" s="446"/>
      <c r="P327" s="446"/>
    </row>
    <row r="328" spans="1:26" ht="19.5">
      <c r="A328" s="146"/>
      <c r="B328" s="147"/>
      <c r="C328" s="148" t="s">
        <v>16</v>
      </c>
      <c r="D328" s="846" t="s">
        <v>17</v>
      </c>
      <c r="E328" s="147"/>
      <c r="F328" s="147"/>
      <c r="G328" s="150"/>
      <c r="H328" s="151" t="s">
        <v>12</v>
      </c>
      <c r="I328" s="420"/>
      <c r="J328" s="420"/>
      <c r="K328" s="153"/>
      <c r="L328" s="154">
        <f ca="1">L329+L330</f>
        <v>157000</v>
      </c>
      <c r="M328" s="154">
        <f ca="1">M329+M330</f>
        <v>159500</v>
      </c>
      <c r="N328" s="154">
        <f ca="1">N329+N330</f>
        <v>159500</v>
      </c>
      <c r="O328" s="154">
        <f t="shared" ref="O328:O336" ca="1" si="56">IF(L328&gt;0,N328*100/L328,0)</f>
        <v>101.59235668789809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6"/>
      <c r="J329" s="616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6"/>
      <c r="J330" s="616"/>
      <c r="K330" s="92"/>
      <c r="L330" s="92">
        <f t="shared" ca="1" si="58"/>
        <v>157000</v>
      </c>
      <c r="M330" s="92">
        <f t="shared" ca="1" si="58"/>
        <v>159500</v>
      </c>
      <c r="N330" s="92">
        <f t="shared" ca="1" si="58"/>
        <v>159500</v>
      </c>
      <c r="O330" s="92">
        <f t="shared" ca="1" si="56"/>
        <v>101.59235668789809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157000</v>
      </c>
      <c r="M331" s="497">
        <f ca="1">M332+M333</f>
        <v>159500</v>
      </c>
      <c r="N331" s="497">
        <f ca="1">N332+N333</f>
        <v>159500</v>
      </c>
      <c r="O331" s="497">
        <f t="shared" ca="1" si="56"/>
        <v>101.59235668789809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IFERROR(__xludf.DUMMYFUNCTION("IMPORTRANGE(""https://docs.google.com/spreadsheets/d/1MeEWN-I1oV_STSDYn1IFDPWt_1FKiwhDph83XaGc0o0/edit?usp=sharing"",""งบพรบ!EM83"")"),157000)</f>
        <v>157000</v>
      </c>
      <c r="M333" s="92">
        <f ca="1">IFERROR(__xludf.DUMMYFUNCTION("IMPORTRANGE(""https://docs.google.com/spreadsheets/d/1MeEWN-I1oV_STSDYn1IFDPWt_1FKiwhDph83XaGc0o0/edit?usp=sharing"",""งบพรบ!ER83"")"),159500)</f>
        <v>159500</v>
      </c>
      <c r="N333" s="92">
        <f ca="1">IFERROR(__xludf.DUMMYFUNCTION("IMPORTRANGE(""https://docs.google.com/spreadsheets/d/1MeEWN-I1oV_STSDYn1IFDPWt_1FKiwhDph83XaGc0o0/edit?usp=sharing"",""งบพรบ!ET83"")"),159500)</f>
        <v>159500</v>
      </c>
      <c r="O333" s="92">
        <f t="shared" ca="1" si="56"/>
        <v>101.59235668789809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IFERROR(__xludf.DUMMYFUNCTION("IMPORTRANGE(""https://docs.google.com/spreadsheets/d/1MeEWN-I1oV_STSDYn1IFDPWt_1FKiwhDph83XaGc0o0/edit?usp=sharing"",""งบพรบ!EP83"")"),0)</f>
        <v>0</v>
      </c>
      <c r="M336" s="92">
        <f ca="1">IFERROR(__xludf.DUMMYFUNCTION("IMPORTRANGE(""https://docs.google.com/spreadsheets/d/1MeEWN-I1oV_STSDYn1IFDPWt_1FKiwhDph83XaGc0o0/edit?usp=sharing"",""งบพรบ!ES83"")"),0)</f>
        <v>0</v>
      </c>
      <c r="N336" s="92">
        <f ca="1">IFERROR(__xludf.DUMMYFUNCTION("IMPORTRANGE(""https://docs.google.com/spreadsheets/d/1MeEWN-I1oV_STSDYn1IFDPWt_1FKiwhDph83XaGc0o0/edit?usp=sharing"",""งบพรบ!EU83"")"),0)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4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61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3"/>
      <c r="B338" s="32"/>
      <c r="C338" s="280"/>
      <c r="D338" s="447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IFERROR(__xludf.DUMMYFUNCTION("IMPORTRANGE(""https://docs.google.com/spreadsheets/d/1QqKyyYR6Q21VydFLVH3TRQUabQu_ym0Zz7PgGX0-kHA/edit?usp=sharing"",""แผน!EG83"")"),180)</f>
        <v>180</v>
      </c>
      <c r="J338" s="269">
        <f ca="1">IFERROR(__xludf.DUMMYFUNCTION("IMPORTRANGE(""https://docs.google.com/spreadsheets/d/1kVcqe37tkHyjCSG3S0O1AXqVkqjo8mSIZil3BcpIysc/edit?usp=sharing"",""ศูนย์!D83"")"),192)</f>
        <v>192</v>
      </c>
      <c r="K338" s="497">
        <f ca="1">IF(I338&gt;0,J338*100/I338,0)</f>
        <v>106.66666666666667</v>
      </c>
      <c r="L338" s="497"/>
      <c r="M338" s="497"/>
      <c r="N338" s="497"/>
      <c r="O338" s="497"/>
      <c r="P338" s="497"/>
    </row>
    <row r="339" spans="1:26" ht="18.75">
      <c r="A339" s="283"/>
      <c r="B339" s="32"/>
      <c r="C339" s="280"/>
      <c r="D339" s="447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3"/>
      <c r="B340" s="32"/>
      <c r="C340" s="280"/>
      <c r="D340" s="177"/>
      <c r="E340" s="447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IFERROR(__xludf.DUMMYFUNCTION("IMPORTRANGE(""https://docs.google.com/spreadsheets/d/1QqKyyYR6Q21VydFLVH3TRQUabQu_ym0Zz7PgGX0-kHA/edit?usp=sharing"",""แผน!EH83"")"),2)</f>
        <v>2</v>
      </c>
      <c r="J340" s="269">
        <f ca="1">IFERROR(__xludf.DUMMYFUNCTION("IMPORTRANGE(""https://docs.google.com/spreadsheets/d/1kVcqe37tkHyjCSG3S0O1AXqVkqjo8mSIZil3BcpIysc/edit?usp=sharing"",""ศูนย์!E83"")"),2)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3"/>
      <c r="B341" s="32"/>
      <c r="C341" s="280"/>
      <c r="D341" s="177"/>
      <c r="E341" s="447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IFERROR(__xludf.DUMMYFUNCTION("IMPORTRANGE(""https://docs.google.com/spreadsheets/d/1kVcqe37tkHyjCSG3S0O1AXqVkqjo8mSIZil3BcpIysc/edit?usp=sharing"",""ศูนย์!F83"")"),17)</f>
        <v>17</v>
      </c>
      <c r="K341" s="497"/>
      <c r="L341" s="497"/>
      <c r="M341" s="497"/>
      <c r="N341" s="497"/>
      <c r="O341" s="497"/>
      <c r="P341" s="497"/>
    </row>
    <row r="342" spans="1:26" ht="18.75">
      <c r="A342" s="283"/>
      <c r="B342" s="32"/>
      <c r="C342" s="280"/>
      <c r="D342" s="447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IFERROR(__xludf.DUMMYFUNCTION("IMPORTRANGE(""https://docs.google.com/spreadsheets/d/1kVcqe37tkHyjCSG3S0O1AXqVkqjo8mSIZil3BcpIysc/edit?usp=sharing"",""ศูนย์!G83"")"),15)</f>
        <v>15</v>
      </c>
      <c r="K342" s="497"/>
      <c r="L342" s="497"/>
      <c r="M342" s="497"/>
      <c r="N342" s="497"/>
      <c r="O342" s="497"/>
      <c r="P342" s="497"/>
    </row>
    <row r="343" spans="1:26" ht="18.75">
      <c r="A343" s="283"/>
      <c r="B343" s="32"/>
      <c r="C343" s="280"/>
      <c r="D343" s="447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IFERROR(__xludf.DUMMYFUNCTION("IMPORTRANGE(""https://docs.google.com/spreadsheets/d/1kVcqe37tkHyjCSG3S0O1AXqVkqjo8mSIZil3BcpIysc/edit?usp=sharing"",""ศูนย์!H83"")"),0)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6"/>
      <c r="B345" s="147"/>
      <c r="C345" s="148" t="s">
        <v>16</v>
      </c>
      <c r="D345" s="846" t="s">
        <v>17</v>
      </c>
      <c r="E345" s="147"/>
      <c r="F345" s="147"/>
      <c r="G345" s="150"/>
      <c r="H345" s="151" t="s">
        <v>12</v>
      </c>
      <c r="I345" s="420"/>
      <c r="J345" s="420"/>
      <c r="K345" s="153"/>
      <c r="L345" s="154">
        <f ca="1">L346+L347</f>
        <v>518760</v>
      </c>
      <c r="M345" s="154">
        <f ca="1">M346+M347</f>
        <v>757180</v>
      </c>
      <c r="N345" s="154">
        <f ca="1">N346+N347</f>
        <v>757180</v>
      </c>
      <c r="O345" s="154">
        <f t="shared" ref="O345:O353" ca="1" si="59">IF(L345&gt;0,N345*100/L345,0)</f>
        <v>145.95959595959596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6"/>
      <c r="J346" s="616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6"/>
      <c r="J347" s="616"/>
      <c r="K347" s="92"/>
      <c r="L347" s="92">
        <f t="shared" ca="1" si="61"/>
        <v>518760</v>
      </c>
      <c r="M347" s="92">
        <f t="shared" ca="1" si="61"/>
        <v>757180</v>
      </c>
      <c r="N347" s="92">
        <f t="shared" ca="1" si="61"/>
        <v>757180</v>
      </c>
      <c r="O347" s="92">
        <f t="shared" ca="1" si="59"/>
        <v>145.95959595959596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404960</v>
      </c>
      <c r="M348" s="497">
        <f ca="1">M349+M350</f>
        <v>643580</v>
      </c>
      <c r="N348" s="497">
        <f ca="1">N349+N350</f>
        <v>643580</v>
      </c>
      <c r="O348" s="497">
        <f t="shared" ca="1" si="59"/>
        <v>158.9243382062426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IFERROR(__xludf.DUMMYFUNCTION("IMPORTRANGE(""https://docs.google.com/spreadsheets/d/1MeEWN-I1oV_STSDYn1IFDPWt_1FKiwhDph83XaGc0o0/edit?usp=sharing"",""งบพรบ!EW83"")"),404960)</f>
        <v>404960</v>
      </c>
      <c r="M350" s="92">
        <f ca="1">IFERROR(__xludf.DUMMYFUNCTION("IMPORTRANGE(""https://docs.google.com/spreadsheets/d/1MeEWN-I1oV_STSDYn1IFDPWt_1FKiwhDph83XaGc0o0/edit?usp=sharing"",""งบพรบ!FB83"")"),643580)</f>
        <v>643580</v>
      </c>
      <c r="N350" s="92">
        <f ca="1">IFERROR(__xludf.DUMMYFUNCTION("IMPORTRANGE(""https://docs.google.com/spreadsheets/d/1MeEWN-I1oV_STSDYn1IFDPWt_1FKiwhDph83XaGc0o0/edit?usp=sharing"",""งบพรบ!FD83"")"),643580)</f>
        <v>643580</v>
      </c>
      <c r="O350" s="92">
        <f t="shared" ca="1" si="59"/>
        <v>158.9243382062426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113800</v>
      </c>
      <c r="M351" s="497">
        <f ca="1">M352+M353</f>
        <v>113600</v>
      </c>
      <c r="N351" s="497">
        <f ca="1">N352+N353</f>
        <v>113600</v>
      </c>
      <c r="O351" s="497">
        <f t="shared" ca="1" si="59"/>
        <v>99.824253075571178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IFERROR(__xludf.DUMMYFUNCTION("IMPORTRANGE(""https://docs.google.com/spreadsheets/d/1MeEWN-I1oV_STSDYn1IFDPWt_1FKiwhDph83XaGc0o0/edit?usp=sharing"",""งบพรบ!EZ83"")"),113800)</f>
        <v>113800</v>
      </c>
      <c r="M353" s="92">
        <f ca="1">IFERROR(__xludf.DUMMYFUNCTION("IMPORTRANGE(""https://docs.google.com/spreadsheets/d/1MeEWN-I1oV_STSDYn1IFDPWt_1FKiwhDph83XaGc0o0/edit?usp=sharing"",""งบพรบ!FC83"")"),113600)</f>
        <v>113600</v>
      </c>
      <c r="N353" s="92">
        <f ca="1">IFERROR(__xludf.DUMMYFUNCTION("IMPORTRANGE(""https://docs.google.com/spreadsheets/d/1MeEWN-I1oV_STSDYn1IFDPWt_1FKiwhDph83XaGc0o0/edit?usp=sharing"",""งบพรบ!FE83"")"),113600)</f>
        <v>113600</v>
      </c>
      <c r="O353" s="92">
        <f t="shared" ca="1" si="59"/>
        <v>99.824253075571178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1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IFERROR(__xludf.DUMMYFUNCTION("IMPORTRANGE(""https://docs.google.com/spreadsheets/d/1QqKyyYR6Q21VydFLVH3TRQUabQu_ym0Zz7PgGX0-kHA/edit?usp=sharing"",""แผน!EP83"")"),22)</f>
        <v>22</v>
      </c>
      <c r="J355" s="464">
        <f ca="1">J362</f>
        <v>25</v>
      </c>
      <c r="K355" s="465">
        <f ca="1">IF(I355&gt;0,J355*100/I355,0)</f>
        <v>113.63636363636364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47" t="s">
        <v>38</v>
      </c>
      <c r="E357" s="172"/>
      <c r="F357" s="172"/>
      <c r="G357" s="173"/>
      <c r="H357" s="761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IFERROR(__xludf.DUMMYFUNCTION("IMPORTRANGE(""https://docs.google.com/spreadsheets/d/1XWAQStnk-4SwqDmLtmXYiTMKHgktTP8We1SCoS47DrQ/edit?usp=sharing"",""จัดที่ดิน!W83"")"),24)</f>
        <v>24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IFERROR(__xludf.DUMMYFUNCTION("IMPORTRANGE(""https://docs.google.com/spreadsheets/d/1QqKyyYR6Q21VydFLVH3TRQUabQu_ym0Zz7PgGX0-kHA/edit?usp=sharing"",""แผน!EO83"")"),95)</f>
        <v>95</v>
      </c>
      <c r="J359" s="269">
        <f ca="1">IFERROR(__xludf.DUMMYFUNCTION("IMPORTRANGE(""https://docs.google.com/spreadsheets/d/1XWAQStnk-4SwqDmLtmXYiTMKHgktTP8We1SCoS47DrQ/edit?usp=sharing"",""จัดที่ดิน!X83"")"),87.6)</f>
        <v>87.6</v>
      </c>
      <c r="K359" s="497">
        <f t="shared" ca="1" si="62"/>
        <v>92.21052631578948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63" t="s">
        <v>35</v>
      </c>
      <c r="I360" s="269">
        <f ca="1">IFERROR(__xludf.DUMMYFUNCTION("IMPORTRANGE(""https://docs.google.com/spreadsheets/d/1QqKyyYR6Q21VydFLVH3TRQUabQu_ym0Zz7PgGX0-kHA/edit?usp=sharing"",""แผน!EP83"")"),22)</f>
        <v>22</v>
      </c>
      <c r="J360" s="269">
        <f ca="1">IFERROR(__xludf.DUMMYFUNCTION("IMPORTRANGE(""https://docs.google.com/spreadsheets/d/1XWAQStnk-4SwqDmLtmXYiTMKHgktTP8We1SCoS47DrQ/edit?usp=sharing"",""จัดที่ดิน!Y83"")"),25)</f>
        <v>25</v>
      </c>
      <c r="K360" s="497">
        <f t="shared" ca="1" si="62"/>
        <v>113.63636363636364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63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IFERROR(__xludf.DUMMYFUNCTION("IMPORTRANGE(""https://docs.google.com/spreadsheets/d/1XWAQStnk-4SwqDmLtmXYiTMKHgktTP8We1SCoS47DrQ/edit?usp=sharing"",""จัดที่ดิน!Z83"")"),88.78)</f>
        <v>88.78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63" t="s">
        <v>35</v>
      </c>
      <c r="I362" s="269">
        <f ca="1">IFERROR(__xludf.DUMMYFUNCTION("IMPORTRANGE(""https://docs.google.com/spreadsheets/d/1QqKyyYR6Q21VydFLVH3TRQUabQu_ym0Zz7PgGX0-kHA/edit?usp=sharing"",""แผน!EP83"")"),22)</f>
        <v>22</v>
      </c>
      <c r="J362" s="269">
        <f ca="1">IFERROR(__xludf.DUMMYFUNCTION("IMPORTRANGE(""https://docs.google.com/spreadsheets/d/1XWAQStnk-4SwqDmLtmXYiTMKHgktTP8We1SCoS47DrQ/edit?usp=sharing"",""จัดที่ดิน!AA83"")"),25)</f>
        <v>25</v>
      </c>
      <c r="K362" s="497">
        <f t="shared" ca="1" si="62"/>
        <v>113.63636363636364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7"/>
      <c r="F363" s="177"/>
      <c r="G363" s="178"/>
      <c r="H363" s="763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IFERROR(__xludf.DUMMYFUNCTION("IMPORTRANGE(""https://docs.google.com/spreadsheets/d/1XWAQStnk-4SwqDmLtmXYiTMKHgktTP8We1SCoS47DrQ/edit?usp=sharing"",""จัดที่ดิน!AB83"")"),88.78)</f>
        <v>88.78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36</v>
      </c>
      <c r="J364" s="478">
        <f ca="1">J365+J374</f>
        <v>40</v>
      </c>
      <c r="K364" s="479">
        <f t="shared" ca="1" si="62"/>
        <v>111.11111111111111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IFERROR(__xludf.DUMMYFUNCTION("IMPORTRANGE(""https://docs.google.com/spreadsheets/d/1QqKyyYR6Q21VydFLVH3TRQUabQu_ym0Zz7PgGX0-kHA/edit?usp=sharing"",""แผน!EJ83"")"),1)</f>
        <v>1</v>
      </c>
      <c r="J365" s="490">
        <f ca="1">J372</f>
        <v>1</v>
      </c>
      <c r="K365" s="491">
        <f t="shared" ca="1" si="62"/>
        <v>100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47" t="s">
        <v>38</v>
      </c>
      <c r="E367" s="172"/>
      <c r="F367" s="172"/>
      <c r="G367" s="173"/>
      <c r="H367" s="761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IFERROR(__xludf.DUMMYFUNCTION("IMPORTRANGE(""https://docs.google.com/spreadsheets/d/1XWAQStnk-4SwqDmLtmXYiTMKHgktTP8We1SCoS47DrQ/edit?usp=sharing"",""จัดที่ดิน!E83"")"),0)</f>
        <v>0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IFERROR(__xludf.DUMMYFUNCTION("IMPORTRANGE(""https://docs.google.com/spreadsheets/d/1QqKyyYR6Q21VydFLVH3TRQUabQu_ym0Zz7PgGX0-kHA/edit?usp=sharing"",""แผน!EI83"")"),3)</f>
        <v>3</v>
      </c>
      <c r="J369" s="269">
        <f ca="1">IFERROR(__xludf.DUMMYFUNCTION("IMPORTRANGE(""https://docs.google.com/spreadsheets/d/1XWAQStnk-4SwqDmLtmXYiTMKHgktTP8We1SCoS47DrQ/edit?usp=sharing"",""จัดที่ดิน!F83"")"),0)</f>
        <v>0</v>
      </c>
      <c r="K369" s="497">
        <f t="shared" ca="1" si="63"/>
        <v>0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63" t="s">
        <v>35</v>
      </c>
      <c r="I370" s="269">
        <f ca="1">IFERROR(__xludf.DUMMYFUNCTION("IMPORTRANGE(""https://docs.google.com/spreadsheets/d/1QqKyyYR6Q21VydFLVH3TRQUabQu_ym0Zz7PgGX0-kHA/edit?usp=sharing"",""แผน!EJ83"")"),1)</f>
        <v>1</v>
      </c>
      <c r="J370" s="269">
        <f ca="1">IFERROR(__xludf.DUMMYFUNCTION("IMPORTRANGE(""https://docs.google.com/spreadsheets/d/1XWAQStnk-4SwqDmLtmXYiTMKHgktTP8We1SCoS47DrQ/edit?usp=sharing"",""จัดที่ดิน!G83"")"),1)</f>
        <v>1</v>
      </c>
      <c r="K370" s="497">
        <f t="shared" ca="1" si="63"/>
        <v>100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63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IFERROR(__xludf.DUMMYFUNCTION("IMPORTRANGE(""https://docs.google.com/spreadsheets/d/1XWAQStnk-4SwqDmLtmXYiTMKHgktTP8We1SCoS47DrQ/edit?usp=sharing"",""จัดที่ดิน!H83"")"),1.18)</f>
        <v>1.18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63" t="s">
        <v>35</v>
      </c>
      <c r="I372" s="269">
        <f ca="1">IFERROR(__xludf.DUMMYFUNCTION("IMPORTRANGE(""https://docs.google.com/spreadsheets/d/1QqKyyYR6Q21VydFLVH3TRQUabQu_ym0Zz7PgGX0-kHA/edit?usp=sharing"",""แผน!EJ83"")"),1)</f>
        <v>1</v>
      </c>
      <c r="J372" s="269">
        <f ca="1">IFERROR(__xludf.DUMMYFUNCTION("IMPORTRANGE(""https://docs.google.com/spreadsheets/d/1XWAQStnk-4SwqDmLtmXYiTMKHgktTP8We1SCoS47DrQ/edit?usp=sharing"",""จัดที่ดิน!I83"")"),1)</f>
        <v>1</v>
      </c>
      <c r="K372" s="497">
        <f t="shared" ca="1" si="63"/>
        <v>100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7"/>
      <c r="C373" s="170"/>
      <c r="D373" s="177"/>
      <c r="E373" s="447"/>
      <c r="F373" s="177"/>
      <c r="G373" s="178"/>
      <c r="H373" s="763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IFERROR(__xludf.DUMMYFUNCTION("IMPORTRANGE(""https://docs.google.com/spreadsheets/d/1XWAQStnk-4SwqDmLtmXYiTMKHgktTP8We1SCoS47DrQ/edit?usp=sharing"",""จัดที่ดิน!J83"")"),1.18)</f>
        <v>1.18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IFERROR(__xludf.DUMMYFUNCTION("IMPORTRANGE(""https://docs.google.com/spreadsheets/d/1QqKyyYR6Q21VydFLVH3TRQUabQu_ym0Zz7PgGX0-kHA/edit?usp=sharing"",""แผน!EU83"")"),35)</f>
        <v>35</v>
      </c>
      <c r="J374" s="490">
        <f ca="1">J381</f>
        <v>39</v>
      </c>
      <c r="K374" s="491">
        <f t="shared" ca="1" si="63"/>
        <v>111.42857142857143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47" t="s">
        <v>38</v>
      </c>
      <c r="E376" s="172"/>
      <c r="F376" s="172"/>
      <c r="G376" s="173"/>
      <c r="H376" s="761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IFERROR(__xludf.DUMMYFUNCTION("IMPORTRANGE(""https://docs.google.com/spreadsheets/d/1XWAQStnk-4SwqDmLtmXYiTMKHgktTP8We1SCoS47DrQ/edit?usp=sharing"",""จัดที่ดิน!AH83"")"),24)</f>
        <v>24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IFERROR(__xludf.DUMMYFUNCTION("IMPORTRANGE(""https://docs.google.com/spreadsheets/d/1QqKyyYR6Q21VydFLVH3TRQUabQu_ym0Zz7PgGX0-kHA/edit?usp=sharing"",""แผน!ET83"")"),92)</f>
        <v>92</v>
      </c>
      <c r="J378" s="269">
        <f ca="1">IFERROR(__xludf.DUMMYFUNCTION("IMPORTRANGE(""https://docs.google.com/spreadsheets/d/1XWAQStnk-4SwqDmLtmXYiTMKHgktTP8We1SCoS47DrQ/edit?usp=sharing"",""จัดที่ดิน!AI83"")"),87.6)</f>
        <v>87.6</v>
      </c>
      <c r="K378" s="497">
        <f t="shared" ca="1" si="64"/>
        <v>95.217391304347828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63" t="s">
        <v>35</v>
      </c>
      <c r="I379" s="269">
        <f ca="1">IFERROR(__xludf.DUMMYFUNCTION("IMPORTRANGE(""https://docs.google.com/spreadsheets/d/1QqKyyYR6Q21VydFLVH3TRQUabQu_ym0Zz7PgGX0-kHA/edit?usp=sharing"",""แผน!EU83"")"),35)</f>
        <v>35</v>
      </c>
      <c r="J379" s="269">
        <f ca="1">IFERROR(__xludf.DUMMYFUNCTION("IMPORTRANGE(""https://docs.google.com/spreadsheets/d/1XWAQStnk-4SwqDmLtmXYiTMKHgktTP8We1SCoS47DrQ/edit?usp=sharing"",""จัดที่ดิน!AJ83"")"),39)</f>
        <v>39</v>
      </c>
      <c r="K379" s="497">
        <f t="shared" ca="1" si="64"/>
        <v>111.42857142857143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63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IFERROR(__xludf.DUMMYFUNCTION("IMPORTRANGE(""https://docs.google.com/spreadsheets/d/1XWAQStnk-4SwqDmLtmXYiTMKHgktTP8We1SCoS47DrQ/edit?usp=sharing"",""จัดที่ดิน!AK83"")"),312.69)</f>
        <v>312.69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63" t="s">
        <v>35</v>
      </c>
      <c r="I381" s="269">
        <f ca="1">IFERROR(__xludf.DUMMYFUNCTION("IMPORTRANGE(""https://docs.google.com/spreadsheets/d/1QqKyyYR6Q21VydFLVH3TRQUabQu_ym0Zz7PgGX0-kHA/edit?usp=sharing"",""แผน!EU83"")"),35)</f>
        <v>35</v>
      </c>
      <c r="J381" s="269">
        <f ca="1">IFERROR(__xludf.DUMMYFUNCTION("IMPORTRANGE(""https://docs.google.com/spreadsheets/d/1XWAQStnk-4SwqDmLtmXYiTMKHgktTP8We1SCoS47DrQ/edit?usp=sharing"",""จัดที่ดิน!AL83"")"),39)</f>
        <v>39</v>
      </c>
      <c r="K381" s="497">
        <f t="shared" ca="1" si="64"/>
        <v>111.42857142857143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7"/>
      <c r="C382" s="170"/>
      <c r="D382" s="177"/>
      <c r="E382" s="447"/>
      <c r="F382" s="177"/>
      <c r="G382" s="178"/>
      <c r="H382" s="763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IFERROR(__xludf.DUMMYFUNCTION("IMPORTRANGE(""https://docs.google.com/spreadsheets/d/1XWAQStnk-4SwqDmLtmXYiTMKHgktTP8We1SCoS47DrQ/edit?usp=sharing"",""จัดที่ดิน!AM83"")"),312.69)</f>
        <v>312.69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498"/>
      <c r="B383" s="499"/>
      <c r="C383" s="290"/>
      <c r="D383" s="849" t="s">
        <v>169</v>
      </c>
      <c r="E383" s="290"/>
      <c r="F383" s="290"/>
      <c r="G383" s="501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4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761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503" t="s">
        <v>170</v>
      </c>
      <c r="F385" s="380"/>
      <c r="G385" s="381"/>
      <c r="H385" s="504" t="s">
        <v>35</v>
      </c>
      <c r="I385" s="505">
        <f ca="1">IFERROR(__xludf.DUMMYFUNCTION("IMPORTRANGE(""https://docs.google.com/spreadsheets/d/1QqKyyYR6Q21VydFLVH3TRQUabQu_ym0Zz7PgGX0-kHA/edit?usp=sharing"",""แผน!EW83"")"),2)</f>
        <v>2</v>
      </c>
      <c r="J385" s="505">
        <f ca="1">IFERROR(__xludf.DUMMYFUNCTION("IMPORTRANGE(""https://docs.google.com/spreadsheets/d/1XWAQStnk-4SwqDmLtmXYiTMKHgktTP8We1SCoS47DrQ/edit?usp=sharing"",""จัดที่ดิน!AP83"")"),5)</f>
        <v>5</v>
      </c>
      <c r="K385" s="506">
        <f ca="1">IF(I385&gt;0,J385*100/I385,0)</f>
        <v>250</v>
      </c>
      <c r="L385" s="384"/>
      <c r="M385" s="384"/>
      <c r="N385" s="384"/>
      <c r="O385" s="384"/>
      <c r="P385" s="384"/>
    </row>
    <row r="386" spans="1:26" ht="19.5" hidden="1">
      <c r="A386" s="507" t="s">
        <v>171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172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173</v>
      </c>
      <c r="C388" s="522"/>
      <c r="D388" s="523"/>
      <c r="E388" s="523"/>
      <c r="F388" s="523"/>
      <c r="G388" s="524"/>
      <c r="H388" s="525" t="s">
        <v>66</v>
      </c>
      <c r="I388" s="526">
        <f>I400</f>
        <v>0</v>
      </c>
      <c r="J388" s="526">
        <f>J400</f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6"/>
      <c r="B389" s="147"/>
      <c r="C389" s="148" t="s">
        <v>16</v>
      </c>
      <c r="D389" s="846" t="s">
        <v>17</v>
      </c>
      <c r="E389" s="147"/>
      <c r="F389" s="147"/>
      <c r="G389" s="150"/>
      <c r="H389" s="151" t="s">
        <v>12</v>
      </c>
      <c r="I389" s="420"/>
      <c r="J389" s="420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6"/>
      <c r="J390" s="616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6"/>
      <c r="J391" s="616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IFERROR(__xludf.DUMMYFUNCTION("IMPORTRANGE(""https://docs.google.com/spreadsheets/d/1MeEWN-I1oV_STSDYn1IFDPWt_1FKiwhDph83XaGc0o0/edit?usp=sharing"",""งบพรบ!FG83"")"),0)</f>
        <v>0</v>
      </c>
      <c r="M394" s="92">
        <f ca="1">IFERROR(__xludf.DUMMYFUNCTION("IMPORTRANGE(""https://docs.google.com/spreadsheets/d/1MeEWN-I1oV_STSDYn1IFDPWt_1FKiwhDph83XaGc0o0/edit?usp=sharing"",""งบพรบ!FL83"")"),0)</f>
        <v>0</v>
      </c>
      <c r="N394" s="92">
        <f ca="1">IFERROR(__xludf.DUMMYFUNCTION("IMPORTRANGE(""https://docs.google.com/spreadsheets/d/1MeEWN-I1oV_STSDYn1IFDPWt_1FKiwhDph83XaGc0o0/edit?usp=sharing"",""งบพรบ!FN83"")"),0)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IFERROR(__xludf.DUMMYFUNCTION("IMPORTRANGE(""https://docs.google.com/spreadsheets/d/1MeEWN-I1oV_STSDYn1IFDPWt_1FKiwhDph83XaGc0o0/edit?usp=sharing"",""งบพรบ!FJ83"")"),0)</f>
        <v>0</v>
      </c>
      <c r="M397" s="92">
        <f ca="1">IFERROR(__xludf.DUMMYFUNCTION("IMPORTRANGE(""https://docs.google.com/spreadsheets/d/1MeEWN-I1oV_STSDYn1IFDPWt_1FKiwhDph83XaGc0o0/edit?usp=sharing"",""งบพรบ!FM83"")"),0)</f>
        <v>0</v>
      </c>
      <c r="N397" s="92">
        <f ca="1">IFERROR(__xludf.DUMMYFUNCTION("IMPORTRANGE(""https://docs.google.com/spreadsheets/d/1MeEWN-I1oV_STSDYn1IFDPWt_1FKiwhDph83XaGc0o0/edit?usp=sharing"",""งบพรบ!FO83"")"),0)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47" t="s">
        <v>38</v>
      </c>
      <c r="E398" s="172"/>
      <c r="F398" s="172"/>
      <c r="G398" s="173"/>
      <c r="H398" s="761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9"/>
      <c r="B399" s="147"/>
      <c r="C399" s="530"/>
      <c r="D399" s="531" t="s">
        <v>174</v>
      </c>
      <c r="E399" s="415"/>
      <c r="F399" s="147"/>
      <c r="G399" s="150"/>
      <c r="H399" s="532" t="s">
        <v>9</v>
      </c>
      <c r="I399" s="269">
        <v>0</v>
      </c>
      <c r="J399" s="214">
        <v>0</v>
      </c>
      <c r="K399" s="497">
        <f>IF(I399&gt;0,J399*100/I399,0)</f>
        <v>0</v>
      </c>
      <c r="L399" s="533"/>
      <c r="M399" s="533"/>
      <c r="N399" s="533"/>
      <c r="O399" s="533"/>
      <c r="P399" s="533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3"/>
      <c r="B400" s="32"/>
      <c r="C400" s="280"/>
      <c r="D400" s="447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20"/>
      <c r="B401" s="521" t="s">
        <v>176</v>
      </c>
      <c r="C401" s="522"/>
      <c r="D401" s="523"/>
      <c r="E401" s="523"/>
      <c r="F401" s="523"/>
      <c r="G401" s="524"/>
      <c r="H401" s="525" t="s">
        <v>66</v>
      </c>
      <c r="I401" s="526">
        <f>I412</f>
        <v>0</v>
      </c>
      <c r="J401" s="526">
        <f>J412</f>
        <v>0</v>
      </c>
      <c r="K401" s="527">
        <f>IF(I401&gt;0,J401*100/I401,0)</f>
        <v>0</v>
      </c>
      <c r="L401" s="528"/>
      <c r="M401" s="528"/>
      <c r="N401" s="528"/>
      <c r="O401" s="528"/>
      <c r="P401" s="528"/>
    </row>
    <row r="402" spans="1:26" ht="19.5" hidden="1">
      <c r="A402" s="146"/>
      <c r="B402" s="147"/>
      <c r="C402" s="148" t="s">
        <v>16</v>
      </c>
      <c r="D402" s="846" t="s">
        <v>17</v>
      </c>
      <c r="E402" s="147"/>
      <c r="F402" s="147"/>
      <c r="G402" s="150"/>
      <c r="H402" s="151" t="s">
        <v>12</v>
      </c>
      <c r="I402" s="420"/>
      <c r="J402" s="420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6"/>
      <c r="J403" s="616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6"/>
      <c r="J404" s="616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IFERROR(__xludf.DUMMYFUNCTION("IMPORTRANGE(""https://docs.google.com/spreadsheets/d/1MeEWN-I1oV_STSDYn1IFDPWt_1FKiwhDph83XaGc0o0/edit?usp=sharing"",""งบพรบ!FQ83"")"),0)</f>
        <v>0</v>
      </c>
      <c r="M407" s="92">
        <f ca="1">IFERROR(__xludf.DUMMYFUNCTION("IMPORTRANGE(""https://docs.google.com/spreadsheets/d/1MeEWN-I1oV_STSDYn1IFDPWt_1FKiwhDph83XaGc0o0/edit?usp=sharing"",""งบพรบ!FV83"")"),0)</f>
        <v>0</v>
      </c>
      <c r="N407" s="92">
        <f ca="1">IFERROR(__xludf.DUMMYFUNCTION("IMPORTRANGE(""https://docs.google.com/spreadsheets/d/1MeEWN-I1oV_STSDYn1IFDPWt_1FKiwhDph83XaGc0o0/edit?usp=sharing"",""งบพรบ!FX83"")"),0)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IFERROR(__xludf.DUMMYFUNCTION("IMPORTRANGE(""https://docs.google.com/spreadsheets/d/1MeEWN-I1oV_STSDYn1IFDPWt_1FKiwhDph83XaGc0o0/edit?usp=sharing"",""งบพรบ!FT83"")"),0)</f>
        <v>0</v>
      </c>
      <c r="M410" s="92">
        <f ca="1">IFERROR(__xludf.DUMMYFUNCTION("IMPORTRANGE(""https://docs.google.com/spreadsheets/d/1MeEWN-I1oV_STSDYn1IFDPWt_1FKiwhDph83XaGc0o0/edit?usp=sharing"",""งบพรบ!FW83"")"),0)</f>
        <v>0</v>
      </c>
      <c r="N410" s="92">
        <f ca="1">IFERROR(__xludf.DUMMYFUNCTION("IMPORTRANGE(""https://docs.google.com/spreadsheets/d/1MeEWN-I1oV_STSDYn1IFDPWt_1FKiwhDph83XaGc0o0/edit?usp=sharing"",""งบพรบ!FY83"")"),0)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45" t="s">
        <v>38</v>
      </c>
      <c r="E411" s="535"/>
      <c r="F411" s="535"/>
      <c r="G411" s="536"/>
      <c r="H411" s="761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7" t="s">
        <v>177</v>
      </c>
      <c r="E412" s="177"/>
      <c r="F412" s="177"/>
      <c r="G412" s="178"/>
      <c r="H412" s="537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8"/>
      <c r="B413" s="539"/>
      <c r="C413" s="539"/>
      <c r="D413" s="540" t="s">
        <v>178</v>
      </c>
      <c r="E413" s="539"/>
      <c r="F413" s="539"/>
      <c r="G413" s="541"/>
      <c r="H413" s="542" t="s">
        <v>179</v>
      </c>
      <c r="I413" s="543">
        <v>0</v>
      </c>
      <c r="J413" s="544">
        <v>0</v>
      </c>
      <c r="K413" s="545">
        <f>IF(I413&gt;0,J413*100/I413,0)</f>
        <v>0</v>
      </c>
      <c r="L413" s="546"/>
      <c r="M413" s="546"/>
      <c r="N413" s="546"/>
      <c r="O413" s="546"/>
      <c r="P413" s="546"/>
    </row>
    <row r="414" spans="1:26" ht="19.5">
      <c r="A414" s="547" t="s">
        <v>180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ca="1">L419+L444+L467+L502+L523+L544+L629+L655+L685+L737+L754+L770+L786+L805</f>
        <v>337703</v>
      </c>
      <c r="M414" s="553">
        <f ca="1">M419+M444+M467+M502+M523+M544+M629+M655+M685+M737+M754+M770+M786+M805</f>
        <v>350883</v>
      </c>
      <c r="N414" s="553">
        <f>N419+N444+N467+N502+N523+N544+N629+N655+N685+N737+N754+N770+N786+N805</f>
        <v>350883</v>
      </c>
      <c r="O414" s="553">
        <f ca="1">IF(L414&gt;0,N414*100/L414,0)</f>
        <v>103.90283770058306</v>
      </c>
      <c r="P414" s="553">
        <f ca="1">IF(M414&gt;0,N414*100/M414,0)</f>
        <v>100</v>
      </c>
    </row>
    <row r="415" spans="1:26" ht="19.5">
      <c r="A415" s="554" t="s">
        <v>181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182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183</v>
      </c>
      <c r="C417" s="565"/>
      <c r="D417" s="566"/>
      <c r="E417" s="566"/>
      <c r="F417" s="566"/>
      <c r="G417" s="567"/>
      <c r="H417" s="568" t="s">
        <v>35</v>
      </c>
      <c r="I417" s="569">
        <f ca="1">I433</f>
        <v>10</v>
      </c>
      <c r="J417" s="569">
        <f ca="1">J433</f>
        <v>10</v>
      </c>
      <c r="K417" s="570">
        <f ca="1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ca="1">I434</f>
        <v>1</v>
      </c>
      <c r="J418" s="569">
        <f>J434</f>
        <v>1</v>
      </c>
      <c r="K418" s="570">
        <f ca="1">IF(I418&gt;0,J418*100/I418,0)</f>
        <v>100</v>
      </c>
      <c r="L418" s="571"/>
      <c r="M418" s="571"/>
      <c r="N418" s="571"/>
      <c r="O418" s="571"/>
      <c r="P418" s="571"/>
    </row>
    <row r="419" spans="1:26" ht="19.5">
      <c r="A419" s="146"/>
      <c r="B419" s="147"/>
      <c r="C419" s="147" t="s">
        <v>16</v>
      </c>
      <c r="D419" s="910" t="s">
        <v>17</v>
      </c>
      <c r="E419" s="890"/>
      <c r="F419" s="890"/>
      <c r="G419" s="150"/>
      <c r="H419" s="274" t="s">
        <v>12</v>
      </c>
      <c r="I419" s="420"/>
      <c r="J419" s="420"/>
      <c r="K419" s="153"/>
      <c r="L419" s="154">
        <f ca="1">L420+L421</f>
        <v>54560</v>
      </c>
      <c r="M419" s="154">
        <f ca="1">M420+M421</f>
        <v>54560</v>
      </c>
      <c r="N419" s="154">
        <f>N420+N421</f>
        <v>54560</v>
      </c>
      <c r="O419" s="154">
        <f t="shared" ref="O419:O424" ca="1" si="71">IF(L419&gt;0,N419*100/L419,0)</f>
        <v>100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6"/>
      <c r="J420" s="616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6"/>
      <c r="J421" s="616"/>
      <c r="K421" s="92"/>
      <c r="L421" s="92">
        <f t="shared" ca="1" si="73"/>
        <v>54560</v>
      </c>
      <c r="M421" s="92">
        <f t="shared" ca="1" si="73"/>
        <v>54560</v>
      </c>
      <c r="N421" s="92">
        <f t="shared" si="73"/>
        <v>54560</v>
      </c>
      <c r="O421" s="92">
        <f t="shared" ca="1" si="71"/>
        <v>100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54560</v>
      </c>
      <c r="M422" s="497">
        <f ca="1">M423+M424</f>
        <v>54560</v>
      </c>
      <c r="N422" s="497">
        <f>N423+N424</f>
        <v>54560</v>
      </c>
      <c r="O422" s="497">
        <f t="shared" ca="1" si="71"/>
        <v>100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6"/>
      <c r="J423" s="616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6"/>
      <c r="J424" s="616"/>
      <c r="K424" s="92"/>
      <c r="L424" s="92">
        <f ca="1">IFERROR(__xludf.DUMMYFUNCTION("IMPORTRANGE(""https://docs.google.com/spreadsheets/d/1QqKyyYR6Q21VydFLVH3TRQUabQu_ym0Zz7PgGX0-kHA/edit?usp=sharing"",""แผน!EY83"")"),54560)</f>
        <v>54560</v>
      </c>
      <c r="M424" s="92">
        <f ca="1">L424</f>
        <v>54560</v>
      </c>
      <c r="N424" s="92">
        <f>N425+N426+N427+N428</f>
        <v>54560</v>
      </c>
      <c r="O424" s="92">
        <f t="shared" ca="1" si="71"/>
        <v>100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73"/>
      <c r="B425" s="574"/>
      <c r="C425" s="762"/>
      <c r="D425" s="762"/>
      <c r="E425" s="762"/>
      <c r="F425" s="762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826">
        <v>24300</v>
      </c>
      <c r="O425" s="497"/>
      <c r="P425" s="497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826">
        <v>0</v>
      </c>
      <c r="O426" s="497"/>
      <c r="P426" s="497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826">
        <v>0</v>
      </c>
      <c r="O427" s="497"/>
      <c r="P427" s="497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3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826">
        <v>30260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IFERROR(__xludf.DUMMYFUNCTION("IMPORTRANGE(""https://docs.google.com/spreadsheets/d/1QqKyyYR6Q21VydFLVH3TRQUabQu_ym0Zz7PgGX0-kHA/edit?usp=sharing"",""แผน!FB83"")"),0)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4"/>
      <c r="B432" s="415"/>
      <c r="C432" s="147" t="s">
        <v>16</v>
      </c>
      <c r="D432" s="844" t="s">
        <v>38</v>
      </c>
      <c r="E432" s="579"/>
      <c r="F432" s="579"/>
      <c r="G432" s="580"/>
      <c r="H432" s="581"/>
      <c r="I432" s="420"/>
      <c r="J432" s="420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80">
        <f ca="1">I435</f>
        <v>10</v>
      </c>
      <c r="J433" s="680">
        <f ca="1">IF(AND(J435=I435,J437=I437,J439=I439),I437+I439,IF(AND(J435=I437,J437=I437),I437,IF(AND(J435=I439,J439=I439),I439,0)))</f>
        <v>10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80">
        <f ca="1">I438+I440</f>
        <v>1</v>
      </c>
      <c r="J434" s="680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7" t="s">
        <v>192</v>
      </c>
      <c r="E435" s="177"/>
      <c r="F435" s="177"/>
      <c r="G435" s="178"/>
      <c r="H435" s="622" t="s">
        <v>35</v>
      </c>
      <c r="I435" s="582">
        <f ca="1">IFERROR(__xludf.DUMMYFUNCTION("IMPORTRANGE(""https://docs.google.com/spreadsheets/d/1QqKyyYR6Q21VydFLVH3TRQUabQu_ym0Zz7PgGX0-kHA/edit?usp=sharing"",""แผน!FC83"")"),10)</f>
        <v>10</v>
      </c>
      <c r="J435" s="583">
        <v>10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7" t="s">
        <v>193</v>
      </c>
      <c r="E436" s="177"/>
      <c r="F436" s="177"/>
      <c r="G436" s="178"/>
      <c r="H436" s="622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7" t="s">
        <v>194</v>
      </c>
      <c r="E437" s="177"/>
      <c r="F437" s="177"/>
      <c r="G437" s="178"/>
      <c r="H437" s="622" t="s">
        <v>35</v>
      </c>
      <c r="I437" s="582">
        <f ca="1">IFERROR(__xludf.DUMMYFUNCTION("IMPORTRANGE(""https://docs.google.com/spreadsheets/d/1QqKyyYR6Q21VydFLVH3TRQUabQu_ym0Zz7PgGX0-kHA/edit?usp=sharing"",""แผน!FD83"")"),0)</f>
        <v>0</v>
      </c>
      <c r="J437" s="583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7" t="s">
        <v>195</v>
      </c>
      <c r="E438" s="177"/>
      <c r="F438" s="177"/>
      <c r="G438" s="178"/>
      <c r="H438" s="622" t="s">
        <v>49</v>
      </c>
      <c r="I438" s="269">
        <f ca="1">IFERROR(__xludf.DUMMYFUNCTION("IMPORTRANGE(""https://docs.google.com/spreadsheets/d/1QqKyyYR6Q21VydFLVH3TRQUabQu_ym0Zz7PgGX0-kHA/edit?usp=sharing"",""แผน!FE83"")"),0)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7" t="s">
        <v>196</v>
      </c>
      <c r="E439" s="177"/>
      <c r="F439" s="177"/>
      <c r="G439" s="178"/>
      <c r="H439" s="622" t="s">
        <v>35</v>
      </c>
      <c r="I439" s="582">
        <f ca="1">IFERROR(__xludf.DUMMYFUNCTION("IMPORTRANGE(""https://docs.google.com/spreadsheets/d/1QqKyyYR6Q21VydFLVH3TRQUabQu_ym0Zz7PgGX0-kHA/edit?usp=sharing"",""แผน!FF83"")"),10)</f>
        <v>10</v>
      </c>
      <c r="J439" s="583">
        <v>10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7" t="s">
        <v>197</v>
      </c>
      <c r="E440" s="177"/>
      <c r="F440" s="177"/>
      <c r="G440" s="178"/>
      <c r="H440" s="622" t="s">
        <v>49</v>
      </c>
      <c r="I440" s="269">
        <f ca="1">IFERROR(__xludf.DUMMYFUNCTION("IMPORTRANGE(""https://docs.google.com/spreadsheets/d/1QqKyyYR6Q21VydFLVH3TRQUabQu_ym0Zz7PgGX0-kHA/edit?usp=sharing"",""แผน!FG83"")"),1)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7" t="s">
        <v>198</v>
      </c>
      <c r="E441" s="177"/>
      <c r="F441" s="177"/>
      <c r="G441" s="178"/>
      <c r="H441" s="622" t="s">
        <v>35</v>
      </c>
      <c r="I441" s="269">
        <f ca="1">IFERROR(__xludf.DUMMYFUNCTION("IMPORTRANGE(""https://docs.google.com/spreadsheets/d/1QqKyyYR6Q21VydFLVH3TRQUabQu_ym0Zz7PgGX0-kHA/edit?usp=sharing"",""แผน!FH83"")"),0)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84">
        <v>2</v>
      </c>
      <c r="B442" s="585" t="s">
        <v>199</v>
      </c>
      <c r="C442" s="586"/>
      <c r="D442" s="586"/>
      <c r="E442" s="586"/>
      <c r="F442" s="586"/>
      <c r="G442" s="587"/>
      <c r="H442" s="588" t="s">
        <v>35</v>
      </c>
      <c r="I442" s="589">
        <f ca="1">I460</f>
        <v>20</v>
      </c>
      <c r="J442" s="589">
        <f>J460</f>
        <v>20</v>
      </c>
      <c r="K442" s="590">
        <f t="shared" ca="1" si="7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ca="1">I462</f>
        <v>40</v>
      </c>
      <c r="J443" s="569">
        <f>J462</f>
        <v>40</v>
      </c>
      <c r="K443" s="570">
        <f t="shared" ca="1" si="7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87" t="s">
        <v>17</v>
      </c>
      <c r="E444" s="888"/>
      <c r="F444" s="888"/>
      <c r="G444" s="188"/>
      <c r="H444" s="597" t="s">
        <v>12</v>
      </c>
      <c r="I444" s="269"/>
      <c r="J444" s="269"/>
      <c r="K444" s="497"/>
      <c r="L444" s="194">
        <f ca="1">L445+L446</f>
        <v>109560</v>
      </c>
      <c r="M444" s="194">
        <f ca="1">M445+M446</f>
        <v>109560</v>
      </c>
      <c r="N444" s="194">
        <f>N445+N446</f>
        <v>109560</v>
      </c>
      <c r="O444" s="194">
        <f t="shared" ref="O444:O449" ca="1" si="75">IF(L444&gt;0,N444*100/L444,0)</f>
        <v>100</v>
      </c>
      <c r="P444" s="194">
        <f t="shared" ref="P444:P449" ca="1" si="76">IF(M444&gt;0,N444*100/M444,0)</f>
        <v>100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184</v>
      </c>
      <c r="F445" s="758"/>
      <c r="G445" s="602"/>
      <c r="H445" s="164" t="s">
        <v>12</v>
      </c>
      <c r="I445" s="616"/>
      <c r="J445" s="616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185</v>
      </c>
      <c r="F446" s="758"/>
      <c r="G446" s="602"/>
      <c r="H446" s="164" t="s">
        <v>12</v>
      </c>
      <c r="I446" s="616"/>
      <c r="J446" s="616"/>
      <c r="K446" s="92"/>
      <c r="L446" s="92">
        <f t="shared" ca="1" si="77"/>
        <v>109560</v>
      </c>
      <c r="M446" s="92">
        <f t="shared" ca="1" si="77"/>
        <v>109560</v>
      </c>
      <c r="N446" s="92">
        <f t="shared" si="77"/>
        <v>109560</v>
      </c>
      <c r="O446" s="92">
        <f t="shared" ca="1" si="75"/>
        <v>100</v>
      </c>
      <c r="P446" s="92">
        <f t="shared" ca="1" si="76"/>
        <v>100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8"/>
      <c r="H447" s="160" t="s">
        <v>12</v>
      </c>
      <c r="I447" s="183"/>
      <c r="J447" s="183"/>
      <c r="K447" s="162"/>
      <c r="L447" s="497">
        <f ca="1">L448+L449</f>
        <v>109560</v>
      </c>
      <c r="M447" s="497">
        <f ca="1">M448+M449</f>
        <v>109560</v>
      </c>
      <c r="N447" s="497">
        <f>N448+N449</f>
        <v>109560</v>
      </c>
      <c r="O447" s="497">
        <f t="shared" ca="1" si="75"/>
        <v>100</v>
      </c>
      <c r="P447" s="497">
        <f t="shared" ca="1" si="76"/>
        <v>100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184</v>
      </c>
      <c r="F448" s="758"/>
      <c r="G448" s="602"/>
      <c r="H448" s="164" t="s">
        <v>12</v>
      </c>
      <c r="I448" s="616"/>
      <c r="J448" s="616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185</v>
      </c>
      <c r="F449" s="758"/>
      <c r="G449" s="602"/>
      <c r="H449" s="164" t="s">
        <v>12</v>
      </c>
      <c r="I449" s="616"/>
      <c r="J449" s="616"/>
      <c r="K449" s="92"/>
      <c r="L449" s="92">
        <f ca="1">IFERROR(__xludf.DUMMYFUNCTION("IMPORTRANGE(""https://docs.google.com/spreadsheets/d/1QqKyyYR6Q21VydFLVH3TRQUabQu_ym0Zz7PgGX0-kHA/edit?usp=sharing"",""แผน!FJ83"")"),109560)</f>
        <v>109560</v>
      </c>
      <c r="M449" s="92">
        <f ca="1">L449</f>
        <v>109560</v>
      </c>
      <c r="N449" s="92">
        <f>N450+N451+N452+N453</f>
        <v>109560</v>
      </c>
      <c r="O449" s="92">
        <f t="shared" ca="1" si="75"/>
        <v>100</v>
      </c>
      <c r="P449" s="92">
        <f t="shared" ca="1" si="76"/>
        <v>100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826">
        <v>29600</v>
      </c>
      <c r="O450" s="497"/>
      <c r="P450" s="497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826">
        <v>54000</v>
      </c>
      <c r="O451" s="497"/>
      <c r="P451" s="497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826">
        <v>0</v>
      </c>
      <c r="O452" s="497"/>
      <c r="P452" s="497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826">
        <v>25960</v>
      </c>
      <c r="O453" s="497"/>
      <c r="P453" s="497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IFERROR(__xludf.DUMMYFUNCTION("IMPORTRANGE(""https://docs.google.com/spreadsheets/d/1QqKyyYR6Q21VydFLVH3TRQUabQu_ym0Zz7PgGX0-kHA/edit?usp=sharing"",""แผน!FM83"")"),0)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40" t="s">
        <v>38</v>
      </c>
      <c r="E457" s="610"/>
      <c r="F457" s="760"/>
      <c r="G457" s="612"/>
      <c r="H457" s="761"/>
      <c r="I457" s="269"/>
      <c r="J457" s="269"/>
      <c r="K457" s="497"/>
      <c r="L457" s="497"/>
      <c r="M457" s="497"/>
      <c r="N457" s="497"/>
      <c r="O457" s="497"/>
      <c r="P457" s="497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200</v>
      </c>
      <c r="E458" s="615"/>
      <c r="F458" s="719"/>
      <c r="G458" s="365"/>
      <c r="H458" s="369" t="s">
        <v>35</v>
      </c>
      <c r="I458" s="616">
        <v>0</v>
      </c>
      <c r="J458" s="616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201</v>
      </c>
      <c r="E459" s="615"/>
      <c r="F459" s="719"/>
      <c r="G459" s="365"/>
      <c r="H459" s="369"/>
      <c r="I459" s="616"/>
      <c r="J459" s="616"/>
      <c r="K459" s="92"/>
      <c r="L459" s="92"/>
      <c r="M459" s="92"/>
      <c r="N459" s="92"/>
      <c r="O459" s="92"/>
      <c r="P459" s="92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202</v>
      </c>
      <c r="E460" s="617"/>
      <c r="F460" s="625"/>
      <c r="G460" s="761"/>
      <c r="H460" s="763" t="s">
        <v>35</v>
      </c>
      <c r="I460" s="269">
        <f ca="1">IFERROR(__xludf.DUMMYFUNCTION("IMPORTRANGE(""https://docs.google.com/spreadsheets/d/1QqKyyYR6Q21VydFLVH3TRQUabQu_ym0Zz7PgGX0-kHA/edit?usp=sharing"",""แผน!FN83"")"),20)</f>
        <v>20</v>
      </c>
      <c r="J460" s="214">
        <v>20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203</v>
      </c>
      <c r="E461" s="625"/>
      <c r="F461" s="625"/>
      <c r="G461" s="761"/>
      <c r="H461" s="763"/>
      <c r="I461" s="269"/>
      <c r="J461" s="269"/>
      <c r="K461" s="497"/>
      <c r="L461" s="497"/>
      <c r="M461" s="497"/>
      <c r="N461" s="497"/>
      <c r="O461" s="497"/>
      <c r="P461" s="497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204</v>
      </c>
      <c r="E462" s="625"/>
      <c r="F462" s="625"/>
      <c r="G462" s="761"/>
      <c r="H462" s="763" t="s">
        <v>46</v>
      </c>
      <c r="I462" s="269">
        <f ca="1">IFERROR(__xludf.DUMMYFUNCTION("IMPORTRANGE(""https://docs.google.com/spreadsheets/d/1QqKyyYR6Q21VydFLVH3TRQUabQu_ym0Zz7PgGX0-kHA/edit?usp=sharing"",""แผน!FO83"")"),40)</f>
        <v>40</v>
      </c>
      <c r="J462" s="214">
        <v>40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8"/>
      <c r="H463" s="763" t="s">
        <v>46</v>
      </c>
      <c r="I463" s="269">
        <f ca="1">IFERROR(__xludf.DUMMYFUNCTION("IMPORTRANGE(""https://docs.google.com/spreadsheets/d/1QqKyyYR6Q21VydFLVH3TRQUabQu_ym0Zz7PgGX0-kHA/edit?usp=sharing"",""แผน!FO83"")"),40)</f>
        <v>40</v>
      </c>
      <c r="J463" s="214">
        <v>40</v>
      </c>
      <c r="K463" s="497"/>
      <c r="L463" s="497"/>
      <c r="M463" s="497"/>
      <c r="N463" s="497"/>
      <c r="O463" s="497"/>
      <c r="P463" s="497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69">
        <f ca="1">IFERROR(__xludf.DUMMYFUNCTION("IMPORTRANGE(""https://docs.google.com/spreadsheets/d/1QqKyyYR6Q21VydFLVH3TRQUabQu_ym0Zz7PgGX0-kHA/edit?usp=sharing"",""แผน!FN83"")"),20)</f>
        <v>20</v>
      </c>
      <c r="J464" s="214">
        <v>20</v>
      </c>
      <c r="K464" s="497"/>
      <c r="L464" s="497"/>
      <c r="M464" s="497"/>
      <c r="N464" s="497"/>
      <c r="O464" s="497"/>
      <c r="P464" s="497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205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IFERROR(__xludf.DUMMYFUNCTION("IMPORTRANGE(""https://docs.google.com/spreadsheets/d/1QqKyyYR6Q21VydFLVH3TRQUabQu_ym0Zz7PgGX0-kHA/edit?usp=sharing"",""แผน!FX83"")"),11)</f>
        <v>11</v>
      </c>
      <c r="J465" s="589">
        <f>J485+J489+J492</f>
        <v>11</v>
      </c>
      <c r="K465" s="590">
        <f ca="1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IFERROR(__xludf.DUMMYFUNCTION("IMPORTRANGE(""https://docs.google.com/spreadsheets/d/1QqKyyYR6Q21VydFLVH3TRQUabQu_ym0Zz7PgGX0-kHA/edit?usp=sharing"",""แผน!FW83"")"),100)</f>
        <v>100</v>
      </c>
      <c r="J466" s="569">
        <f>J495+J498</f>
        <v>100</v>
      </c>
      <c r="K466" s="570">
        <f ca="1">IF(I466&gt;0,J466*100/I466,0)</f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87" t="s">
        <v>17</v>
      </c>
      <c r="E467" s="888"/>
      <c r="F467" s="888"/>
      <c r="G467" s="188"/>
      <c r="H467" s="597" t="s">
        <v>12</v>
      </c>
      <c r="I467" s="269"/>
      <c r="J467" s="269"/>
      <c r="K467" s="497"/>
      <c r="L467" s="194">
        <f ca="1">L468+L469</f>
        <v>98283</v>
      </c>
      <c r="M467" s="194">
        <f ca="1">M468+M469</f>
        <v>111463</v>
      </c>
      <c r="N467" s="194">
        <f>N468+N469</f>
        <v>111463</v>
      </c>
      <c r="O467" s="194">
        <f t="shared" ref="O467:O472" ca="1" si="78">IF(L467&gt;0,N467*100/L467,0)</f>
        <v>113.41025406224881</v>
      </c>
      <c r="P467" s="194">
        <f t="shared" ref="P467:P472" ca="1" si="79">IF(M467&gt;0,N467*100/M467,0)</f>
        <v>100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184</v>
      </c>
      <c r="F468" s="758"/>
      <c r="G468" s="602"/>
      <c r="H468" s="164" t="s">
        <v>12</v>
      </c>
      <c r="I468" s="616"/>
      <c r="J468" s="616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185</v>
      </c>
      <c r="F469" s="758"/>
      <c r="G469" s="602"/>
      <c r="H469" s="164" t="s">
        <v>12</v>
      </c>
      <c r="I469" s="616"/>
      <c r="J469" s="616"/>
      <c r="K469" s="92"/>
      <c r="L469" s="92">
        <f t="shared" ca="1" si="80"/>
        <v>98283</v>
      </c>
      <c r="M469" s="92">
        <f t="shared" ca="1" si="80"/>
        <v>111463</v>
      </c>
      <c r="N469" s="92">
        <f t="shared" si="80"/>
        <v>111463</v>
      </c>
      <c r="O469" s="92">
        <f t="shared" ca="1" si="78"/>
        <v>113.41025406224881</v>
      </c>
      <c r="P469" s="92">
        <f t="shared" ca="1" si="79"/>
        <v>100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8"/>
      <c r="H470" s="160" t="s">
        <v>12</v>
      </c>
      <c r="I470" s="183"/>
      <c r="J470" s="183"/>
      <c r="K470" s="162"/>
      <c r="L470" s="497">
        <f ca="1">L471+L472</f>
        <v>98283</v>
      </c>
      <c r="M470" s="497">
        <f ca="1">M471+M472</f>
        <v>111463</v>
      </c>
      <c r="N470" s="497">
        <f>N471+N472</f>
        <v>111463</v>
      </c>
      <c r="O470" s="497">
        <f t="shared" ca="1" si="78"/>
        <v>113.41025406224881</v>
      </c>
      <c r="P470" s="497">
        <f t="shared" ca="1" si="79"/>
        <v>100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184</v>
      </c>
      <c r="F471" s="758"/>
      <c r="G471" s="602"/>
      <c r="H471" s="164" t="s">
        <v>12</v>
      </c>
      <c r="I471" s="616"/>
      <c r="J471" s="616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185</v>
      </c>
      <c r="F472" s="758"/>
      <c r="G472" s="602"/>
      <c r="H472" s="164" t="s">
        <v>12</v>
      </c>
      <c r="I472" s="616"/>
      <c r="J472" s="616"/>
      <c r="K472" s="92"/>
      <c r="L472" s="92">
        <f ca="1">IFERROR(__xludf.DUMMYFUNCTION("IMPORTRANGE(""https://docs.google.com/spreadsheets/d/1QqKyyYR6Q21VydFLVH3TRQUabQu_ym0Zz7PgGX0-kHA/edit?usp=sharing"",""แผน!FS83"")"),98283)</f>
        <v>98283</v>
      </c>
      <c r="M472" s="92">
        <f ca="1">L472+13180</f>
        <v>111463</v>
      </c>
      <c r="N472" s="92">
        <f>N473+N474+N475+N476</f>
        <v>111463</v>
      </c>
      <c r="O472" s="92">
        <f t="shared" ca="1" si="78"/>
        <v>113.41025406224881</v>
      </c>
      <c r="P472" s="92">
        <f t="shared" ca="1" si="79"/>
        <v>100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826">
        <v>13040</v>
      </c>
      <c r="O473" s="497"/>
      <c r="P473" s="497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826">
        <v>66000</v>
      </c>
      <c r="O474" s="497"/>
      <c r="P474" s="497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826">
        <v>0</v>
      </c>
      <c r="O475" s="497"/>
      <c r="P475" s="497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826">
        <v>32423</v>
      </c>
      <c r="O476" s="497"/>
      <c r="P476" s="497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IFERROR(__xludf.DUMMYFUNCTION("IMPORTRANGE(""https://docs.google.com/spreadsheets/d/1QqKyyYR6Q21VydFLVH3TRQUabQu_ym0Zz7PgGX0-kHA/edit?usp=sharing"",""แผน!FV83"")"),0)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43" t="s">
        <v>38</v>
      </c>
      <c r="E480" s="610"/>
      <c r="F480" s="760"/>
      <c r="G480" s="612"/>
      <c r="H480" s="761"/>
      <c r="I480" s="269"/>
      <c r="J480" s="269"/>
      <c r="K480" s="497"/>
      <c r="L480" s="497"/>
      <c r="M480" s="497"/>
      <c r="N480" s="497"/>
      <c r="O480" s="497"/>
      <c r="P480" s="497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206</v>
      </c>
      <c r="E481" s="617"/>
      <c r="F481" s="617"/>
      <c r="G481" s="761"/>
      <c r="H481" s="188"/>
      <c r="I481" s="269"/>
      <c r="J481" s="269"/>
      <c r="K481" s="497"/>
      <c r="L481" s="497"/>
      <c r="M481" s="497"/>
      <c r="N481" s="497"/>
      <c r="O481" s="497"/>
      <c r="P481" s="497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207</v>
      </c>
      <c r="F482" s="617"/>
      <c r="G482" s="761"/>
      <c r="H482" s="188"/>
      <c r="I482" s="269"/>
      <c r="J482" s="269"/>
      <c r="K482" s="497"/>
      <c r="L482" s="497"/>
      <c r="M482" s="497"/>
      <c r="N482" s="497"/>
      <c r="O482" s="497"/>
      <c r="P482" s="497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208</v>
      </c>
      <c r="G483" s="761"/>
      <c r="H483" s="622" t="s">
        <v>46</v>
      </c>
      <c r="I483" s="269">
        <f ca="1">IFERROR(__xludf.DUMMYFUNCTION("IMPORTRANGE(""https://docs.google.com/spreadsheets/d/1QqKyyYR6Q21VydFLVH3TRQUabQu_ym0Zz7PgGX0-kHA/edit?usp=sharing"",""แผน!FY83"")"),90)</f>
        <v>90</v>
      </c>
      <c r="J483" s="214">
        <v>90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209</v>
      </c>
      <c r="G484" s="761"/>
      <c r="H484" s="622" t="s">
        <v>35</v>
      </c>
      <c r="I484" s="269"/>
      <c r="J484" s="214">
        <v>9</v>
      </c>
      <c r="K484" s="497"/>
      <c r="L484" s="497"/>
      <c r="M484" s="497"/>
      <c r="N484" s="497"/>
      <c r="O484" s="497"/>
      <c r="P484" s="497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210</v>
      </c>
      <c r="G485" s="761"/>
      <c r="H485" s="622" t="s">
        <v>35</v>
      </c>
      <c r="I485" s="269">
        <f ca="1">IFERROR(__xludf.DUMMYFUNCTION("IMPORTRANGE(""https://docs.google.com/spreadsheets/d/1QqKyyYR6Q21VydFLVH3TRQUabQu_ym0Zz7PgGX0-kHA/edit?usp=sharing"",""แผน!FZ83"")"),9)</f>
        <v>9</v>
      </c>
      <c r="J485" s="214">
        <v>9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69"/>
      <c r="J486" s="269"/>
      <c r="K486" s="497"/>
      <c r="L486" s="497"/>
      <c r="M486" s="497"/>
      <c r="N486" s="497"/>
      <c r="O486" s="497"/>
      <c r="P486" s="497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208</v>
      </c>
      <c r="G487" s="761"/>
      <c r="H487" s="622" t="s">
        <v>46</v>
      </c>
      <c r="I487" s="269">
        <f ca="1">IFERROR(__xludf.DUMMYFUNCTION("IMPORTRANGE(""https://docs.google.com/spreadsheets/d/1QqKyyYR6Q21VydFLVH3TRQUabQu_ym0Zz7PgGX0-kHA/edit?usp=sharing"",""แผน!GA83"")"),10)</f>
        <v>10</v>
      </c>
      <c r="J487" s="214">
        <v>10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211</v>
      </c>
      <c r="G488" s="761"/>
      <c r="H488" s="622" t="s">
        <v>35</v>
      </c>
      <c r="I488" s="269"/>
      <c r="J488" s="214">
        <v>1</v>
      </c>
      <c r="K488" s="497"/>
      <c r="L488" s="497"/>
      <c r="M488" s="497"/>
      <c r="N488" s="497"/>
      <c r="O488" s="497"/>
      <c r="P488" s="497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212</v>
      </c>
      <c r="G489" s="761"/>
      <c r="H489" s="622" t="s">
        <v>35</v>
      </c>
      <c r="I489" s="269">
        <f ca="1">IFERROR(__xludf.DUMMYFUNCTION("IMPORTRANGE(""https://docs.google.com/spreadsheets/d/1QqKyyYR6Q21VydFLVH3TRQUabQu_ym0Zz7PgGX0-kHA/edit?usp=sharing"",""แผน!GB83"")"),1)</f>
        <v>1</v>
      </c>
      <c r="J489" s="214">
        <v>1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69"/>
      <c r="J490" s="269"/>
      <c r="K490" s="497"/>
      <c r="L490" s="497"/>
      <c r="M490" s="497"/>
      <c r="N490" s="497"/>
      <c r="O490" s="497"/>
      <c r="P490" s="497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213</v>
      </c>
      <c r="G491" s="761"/>
      <c r="H491" s="622" t="s">
        <v>35</v>
      </c>
      <c r="I491" s="269"/>
      <c r="J491" s="214">
        <v>1</v>
      </c>
      <c r="K491" s="497"/>
      <c r="L491" s="497"/>
      <c r="M491" s="497"/>
      <c r="N491" s="497"/>
      <c r="O491" s="497"/>
      <c r="P491" s="497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214</v>
      </c>
      <c r="G492" s="761"/>
      <c r="H492" s="622" t="s">
        <v>35</v>
      </c>
      <c r="I492" s="269">
        <f ca="1">IFERROR(__xludf.DUMMYFUNCTION("IMPORTRANGE(""https://docs.google.com/spreadsheets/d/1QqKyyYR6Q21VydFLVH3TRQUabQu_ym0Zz7PgGX0-kHA/edit?usp=sharing"",""แผน!GC83"")"),1)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8"/>
      <c r="I493" s="269"/>
      <c r="J493" s="269"/>
      <c r="K493" s="497"/>
      <c r="L493" s="497"/>
      <c r="M493" s="497"/>
      <c r="N493" s="497"/>
      <c r="O493" s="497"/>
      <c r="P493" s="497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207</v>
      </c>
      <c r="F494" s="625"/>
      <c r="G494" s="761"/>
      <c r="H494" s="188"/>
      <c r="I494" s="269"/>
      <c r="J494" s="269"/>
      <c r="K494" s="497"/>
      <c r="L494" s="497"/>
      <c r="M494" s="497"/>
      <c r="N494" s="497"/>
      <c r="O494" s="497"/>
      <c r="P494" s="497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215</v>
      </c>
      <c r="G495" s="761"/>
      <c r="H495" s="622" t="s">
        <v>46</v>
      </c>
      <c r="I495" s="269">
        <f ca="1">IFERROR(__xludf.DUMMYFUNCTION("IMPORTRANGE(""https://docs.google.com/spreadsheets/d/1QqKyyYR6Q21VydFLVH3TRQUabQu_ym0Zz7PgGX0-kHA/edit?usp=sharing"",""แผน!FY83"")"),90)</f>
        <v>90</v>
      </c>
      <c r="J495" s="214">
        <v>90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216</v>
      </c>
      <c r="G496" s="761"/>
      <c r="H496" s="622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8"/>
      <c r="I497" s="269"/>
      <c r="J497" s="269"/>
      <c r="K497" s="497"/>
      <c r="L497" s="497"/>
      <c r="M497" s="497"/>
      <c r="N497" s="497"/>
      <c r="O497" s="497"/>
      <c r="P497" s="497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217</v>
      </c>
      <c r="G498" s="761"/>
      <c r="H498" s="622" t="s">
        <v>46</v>
      </c>
      <c r="I498" s="269">
        <f ca="1">IFERROR(__xludf.DUMMYFUNCTION("IMPORTRANGE(""https://docs.google.com/spreadsheets/d/1QqKyyYR6Q21VydFLVH3TRQUabQu_ym0Zz7PgGX0-kHA/edit?usp=sharing"",""แผน!GA83"")"),10)</f>
        <v>10</v>
      </c>
      <c r="J498" s="214">
        <v>10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218</v>
      </c>
      <c r="G499" s="761"/>
      <c r="H499" s="622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219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>J516</f>
        <v>0</v>
      </c>
      <c r="K500" s="633">
        <f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220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>J517</f>
        <v>0</v>
      </c>
      <c r="K501" s="642">
        <f>IF(I501&gt;0,J501*100/I501,0)</f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92" t="s">
        <v>17</v>
      </c>
      <c r="E502" s="888"/>
      <c r="F502" s="888"/>
      <c r="G502" s="602"/>
      <c r="H502" s="645" t="s">
        <v>12</v>
      </c>
      <c r="I502" s="616"/>
      <c r="J502" s="616"/>
      <c r="K502" s="92"/>
      <c r="L502" s="646">
        <f>L503+L504</f>
        <v>0</v>
      </c>
      <c r="M502" s="646">
        <f>M503+M504</f>
        <v>0</v>
      </c>
      <c r="N502" s="646">
        <f>N503+N504</f>
        <v>0</v>
      </c>
      <c r="O502" s="646">
        <f t="shared" ref="O502:O507" si="81">IF(L502&gt;0,N502*100/L502,0)</f>
        <v>0</v>
      </c>
      <c r="P502" s="646">
        <f t="shared" ref="P502:P507" si="82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184</v>
      </c>
      <c r="F503" s="758"/>
      <c r="G503" s="602"/>
      <c r="H503" s="164" t="s">
        <v>12</v>
      </c>
      <c r="I503" s="616"/>
      <c r="J503" s="616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185</v>
      </c>
      <c r="F504" s="758"/>
      <c r="G504" s="602"/>
      <c r="H504" s="164" t="s">
        <v>12</v>
      </c>
      <c r="I504" s="616"/>
      <c r="J504" s="616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184</v>
      </c>
      <c r="F506" s="758"/>
      <c r="G506" s="602"/>
      <c r="H506" s="164" t="s">
        <v>12</v>
      </c>
      <c r="I506" s="616"/>
      <c r="J506" s="616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185</v>
      </c>
      <c r="F507" s="758"/>
      <c r="G507" s="602"/>
      <c r="H507" s="164" t="s">
        <v>12</v>
      </c>
      <c r="I507" s="616"/>
      <c r="J507" s="616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186</v>
      </c>
      <c r="G508" s="602"/>
      <c r="H508" s="164" t="s">
        <v>12</v>
      </c>
      <c r="I508" s="616"/>
      <c r="J508" s="616"/>
      <c r="K508" s="92"/>
      <c r="L508" s="92"/>
      <c r="M508" s="92"/>
      <c r="N508" s="92">
        <v>0</v>
      </c>
      <c r="O508" s="92"/>
      <c r="P508" s="92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187</v>
      </c>
      <c r="G509" s="602"/>
      <c r="H509" s="164" t="s">
        <v>12</v>
      </c>
      <c r="I509" s="616"/>
      <c r="J509" s="616"/>
      <c r="K509" s="92"/>
      <c r="L509" s="92"/>
      <c r="M509" s="92"/>
      <c r="N509" s="92">
        <v>0</v>
      </c>
      <c r="O509" s="92"/>
      <c r="P509" s="92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188</v>
      </c>
      <c r="G510" s="602"/>
      <c r="H510" s="164" t="s">
        <v>12</v>
      </c>
      <c r="I510" s="616"/>
      <c r="J510" s="616"/>
      <c r="K510" s="92"/>
      <c r="L510" s="92"/>
      <c r="M510" s="92"/>
      <c r="N510" s="92">
        <v>0</v>
      </c>
      <c r="O510" s="92"/>
      <c r="P510" s="92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189</v>
      </c>
      <c r="G511" s="602"/>
      <c r="H511" s="164" t="s">
        <v>12</v>
      </c>
      <c r="I511" s="616"/>
      <c r="J511" s="616"/>
      <c r="K511" s="92"/>
      <c r="L511" s="92"/>
      <c r="M511" s="92"/>
      <c r="N511" s="92">
        <v>0</v>
      </c>
      <c r="O511" s="92"/>
      <c r="P511" s="92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42" t="s">
        <v>38</v>
      </c>
      <c r="E515" s="650"/>
      <c r="F515" s="650"/>
      <c r="G515" s="651"/>
      <c r="H515" s="365"/>
      <c r="I515" s="165"/>
      <c r="J515" s="165"/>
      <c r="K515" s="166"/>
      <c r="L515" s="166"/>
      <c r="M515" s="166"/>
      <c r="N515" s="166"/>
      <c r="O515" s="166"/>
      <c r="P515" s="166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221</v>
      </c>
      <c r="E516" s="719"/>
      <c r="F516" s="719"/>
      <c r="G516" s="365"/>
      <c r="H516" s="652" t="s">
        <v>109</v>
      </c>
      <c r="I516" s="616"/>
      <c r="J516" s="616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222</v>
      </c>
      <c r="E517" s="719"/>
      <c r="F517" s="719"/>
      <c r="G517" s="365"/>
      <c r="H517" s="653" t="s">
        <v>35</v>
      </c>
      <c r="I517" s="654"/>
      <c r="J517" s="654">
        <f>J518+J519</f>
        <v>0</v>
      </c>
      <c r="K517" s="655">
        <f>IF(I517&gt;0,J517*100/I517,0)</f>
        <v>0</v>
      </c>
      <c r="L517" s="166"/>
      <c r="M517" s="166"/>
      <c r="N517" s="166"/>
      <c r="O517" s="166"/>
      <c r="P517" s="166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223</v>
      </c>
      <c r="F518" s="719"/>
      <c r="G518" s="365"/>
      <c r="H518" s="369" t="s">
        <v>35</v>
      </c>
      <c r="I518" s="616"/>
      <c r="J518" s="616"/>
      <c r="K518" s="166"/>
      <c r="L518" s="166"/>
      <c r="M518" s="166"/>
      <c r="N518" s="166"/>
      <c r="O518" s="166"/>
      <c r="P518" s="166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224</v>
      </c>
      <c r="F519" s="719"/>
      <c r="G519" s="365"/>
      <c r="H519" s="652" t="s">
        <v>35</v>
      </c>
      <c r="I519" s="616"/>
      <c r="J519" s="616"/>
      <c r="K519" s="166"/>
      <c r="L519" s="166"/>
      <c r="M519" s="166"/>
      <c r="N519" s="166"/>
      <c r="O519" s="166"/>
      <c r="P519" s="166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225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226</v>
      </c>
      <c r="C522" s="672"/>
      <c r="D522" s="672"/>
      <c r="E522" s="672"/>
      <c r="F522" s="672"/>
      <c r="G522" s="673"/>
      <c r="H522" s="674" t="s">
        <v>35</v>
      </c>
      <c r="I522" s="707">
        <f ca="1">I537</f>
        <v>0</v>
      </c>
      <c r="J522" s="707">
        <f ca="1">J537</f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87" t="s">
        <v>17</v>
      </c>
      <c r="E523" s="888"/>
      <c r="F523" s="888"/>
      <c r="G523" s="188"/>
      <c r="H523" s="597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184</v>
      </c>
      <c r="F524" s="758"/>
      <c r="G524" s="602"/>
      <c r="H524" s="164" t="s">
        <v>12</v>
      </c>
      <c r="I524" s="616"/>
      <c r="J524" s="616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185</v>
      </c>
      <c r="F525" s="758"/>
      <c r="G525" s="602"/>
      <c r="H525" s="164" t="s">
        <v>12</v>
      </c>
      <c r="I525" s="616"/>
      <c r="J525" s="616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184</v>
      </c>
      <c r="F527" s="758"/>
      <c r="G527" s="602"/>
      <c r="H527" s="164" t="s">
        <v>12</v>
      </c>
      <c r="I527" s="616"/>
      <c r="J527" s="616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185</v>
      </c>
      <c r="F528" s="758"/>
      <c r="G528" s="602"/>
      <c r="H528" s="164" t="s">
        <v>12</v>
      </c>
      <c r="I528" s="616"/>
      <c r="J528" s="616"/>
      <c r="K528" s="92"/>
      <c r="L528" s="92">
        <f ca="1">IFERROR(__xludf.DUMMYFUNCTION("IMPORTRANGE(""https://docs.google.com/spreadsheets/d/1QqKyyYR6Q21VydFLVH3TRQUabQu_ym0Zz7PgGX0-kHA/edit?usp=sharing"",""แผน!GQ83"")"),0)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826">
        <v>0</v>
      </c>
      <c r="O529" s="497"/>
      <c r="P529" s="497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826">
        <v>0</v>
      </c>
      <c r="O530" s="497"/>
      <c r="P530" s="497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826">
        <v>0</v>
      </c>
      <c r="O531" s="497"/>
      <c r="P531" s="497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826">
        <v>0</v>
      </c>
      <c r="O532" s="497"/>
      <c r="P532" s="497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IFERROR(__xludf.DUMMYFUNCTION("IMPORTRANGE(""https://docs.google.com/spreadsheets/d/1QqKyyYR6Q21VydFLVH3TRQUabQu_ym0Zz7PgGX0-kHA/edit?usp=sharing"",""แผน!GT83"")"),0)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41" t="s">
        <v>38</v>
      </c>
      <c r="E536" s="760"/>
      <c r="F536" s="760"/>
      <c r="G536" s="612"/>
      <c r="H536" s="761"/>
      <c r="I536" s="183"/>
      <c r="J536" s="183"/>
      <c r="K536" s="162"/>
      <c r="L536" s="162"/>
      <c r="M536" s="162"/>
      <c r="N536" s="162"/>
      <c r="O536" s="162"/>
      <c r="P536" s="162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227</v>
      </c>
      <c r="E537" s="762"/>
      <c r="F537" s="762"/>
      <c r="G537" s="188"/>
      <c r="H537" s="622" t="s">
        <v>35</v>
      </c>
      <c r="I537" s="680">
        <f ca="1">IFERROR(__xludf.DUMMYFUNCTION("IMPORTRANGE(""https://docs.google.com/spreadsheets/d/1QqKyyYR6Q21VydFLVH3TRQUabQu_ym0Zz7PgGX0-kHA/edit?usp=sharing"",""แผน!GU83"")"),0)</f>
        <v>0</v>
      </c>
      <c r="J537" s="680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228</v>
      </c>
      <c r="F538" s="762"/>
      <c r="G538" s="188"/>
      <c r="H538" s="622" t="s">
        <v>35</v>
      </c>
      <c r="I538" s="269">
        <f ca="1">IFERROR(__xludf.DUMMYFUNCTION("IMPORTRANGE(""https://docs.google.com/spreadsheets/d/1QqKyyYR6Q21VydFLVH3TRQUabQu_ym0Zz7PgGX0-kHA/edit?usp=sharing"",""แผน!GV83"")"),0)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229</v>
      </c>
      <c r="F539" s="762"/>
      <c r="G539" s="188"/>
      <c r="H539" s="622" t="s">
        <v>35</v>
      </c>
      <c r="I539" s="269">
        <f ca="1">IFERROR(__xludf.DUMMYFUNCTION("IMPORTRANGE(""https://docs.google.com/spreadsheets/d/1QqKyyYR6Q21VydFLVH3TRQUabQu_ym0Zz7PgGX0-kHA/edit?usp=sharing"",""แผน!GW83"")"),0)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230</v>
      </c>
      <c r="F540" s="762"/>
      <c r="G540" s="188"/>
      <c r="H540" s="622" t="s">
        <v>35</v>
      </c>
      <c r="I540" s="269">
        <f ca="1">IFERROR(__xludf.DUMMYFUNCTION("IMPORTRANGE(""https://docs.google.com/spreadsheets/d/1QqKyyYR6Q21VydFLVH3TRQUabQu_ym0Zz7PgGX0-kHA/edit?usp=sharing"",""แผน!GX83"")"),0)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231</v>
      </c>
      <c r="F541" s="762"/>
      <c r="G541" s="188"/>
      <c r="H541" s="622" t="s">
        <v>35</v>
      </c>
      <c r="I541" s="269">
        <f ca="1">IFERROR(__xludf.DUMMYFUNCTION("IMPORTRANGE(""https://docs.google.com/spreadsheets/d/1QqKyyYR6Q21VydFLVH3TRQUabQu_ym0Zz7PgGX0-kHA/edit?usp=sharing"",""แผน!GY83"")"),0)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8"/>
      <c r="H542" s="622" t="s">
        <v>35</v>
      </c>
      <c r="I542" s="269">
        <f ca="1">IFERROR(__xludf.DUMMYFUNCTION("IMPORTRANGE(""https://docs.google.com/spreadsheets/d/1QqKyyYR6Q21VydFLVH3TRQUabQu_ym0Zz7PgGX0-kHA/edit?usp=sharing"",""แผน!GZ83"")"),0)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232</v>
      </c>
      <c r="C543" s="666"/>
      <c r="D543" s="666"/>
      <c r="E543" s="666"/>
      <c r="F543" s="666"/>
      <c r="G543" s="667"/>
      <c r="H543" s="685" t="s">
        <v>46</v>
      </c>
      <c r="I543" s="686">
        <f ca="1">I559</f>
        <v>0</v>
      </c>
      <c r="J543" s="686">
        <f>J559</f>
        <v>0</v>
      </c>
      <c r="K543" s="687">
        <f t="shared" ca="1" si="87"/>
        <v>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911" t="s">
        <v>17</v>
      </c>
      <c r="E544" s="890"/>
      <c r="F544" s="890"/>
      <c r="G544" s="690"/>
      <c r="H544" s="274" t="s">
        <v>12</v>
      </c>
      <c r="I544" s="420"/>
      <c r="J544" s="420"/>
      <c r="K544" s="153"/>
      <c r="L544" s="154">
        <f ca="1">L545+L546</f>
        <v>75300</v>
      </c>
      <c r="M544" s="154">
        <f ca="1">M545+M546</f>
        <v>75300</v>
      </c>
      <c r="N544" s="154">
        <f>N545+N546</f>
        <v>75300</v>
      </c>
      <c r="O544" s="154">
        <f t="shared" ref="O544:O549" ca="1" si="88">IF(L544&gt;0,N544*100/L544,0)</f>
        <v>100</v>
      </c>
      <c r="P544" s="154">
        <f t="shared" ref="P544:P549" ca="1" si="89">IF(M544&gt;0,N544*100/M544,0)</f>
        <v>100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184</v>
      </c>
      <c r="F545" s="758"/>
      <c r="G545" s="602"/>
      <c r="H545" s="164" t="s">
        <v>12</v>
      </c>
      <c r="I545" s="616"/>
      <c r="J545" s="616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185</v>
      </c>
      <c r="F546" s="758"/>
      <c r="G546" s="602"/>
      <c r="H546" s="164" t="s">
        <v>12</v>
      </c>
      <c r="I546" s="616"/>
      <c r="J546" s="616"/>
      <c r="K546" s="92"/>
      <c r="L546" s="92">
        <f ca="1">L549+L557</f>
        <v>75300</v>
      </c>
      <c r="M546" s="92">
        <f ca="1">M549+M556</f>
        <v>75300</v>
      </c>
      <c r="N546" s="92">
        <f>N549+N556</f>
        <v>75300</v>
      </c>
      <c r="O546" s="92">
        <f t="shared" ca="1" si="88"/>
        <v>100</v>
      </c>
      <c r="P546" s="92">
        <f t="shared" ca="1" si="89"/>
        <v>100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8"/>
      <c r="H547" s="160" t="s">
        <v>12</v>
      </c>
      <c r="I547" s="183"/>
      <c r="J547" s="183"/>
      <c r="K547" s="162"/>
      <c r="L547" s="497">
        <f ca="1">L548+L549</f>
        <v>75300</v>
      </c>
      <c r="M547" s="497">
        <f ca="1">M548+M549</f>
        <v>75300</v>
      </c>
      <c r="N547" s="497">
        <f>N548+N549</f>
        <v>75300</v>
      </c>
      <c r="O547" s="497">
        <f t="shared" ca="1" si="88"/>
        <v>100</v>
      </c>
      <c r="P547" s="497">
        <f t="shared" ca="1" si="89"/>
        <v>100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184</v>
      </c>
      <c r="F548" s="758"/>
      <c r="G548" s="602"/>
      <c r="H548" s="164" t="s">
        <v>12</v>
      </c>
      <c r="I548" s="616"/>
      <c r="J548" s="616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185</v>
      </c>
      <c r="F549" s="758"/>
      <c r="G549" s="602"/>
      <c r="H549" s="164" t="s">
        <v>12</v>
      </c>
      <c r="I549" s="616"/>
      <c r="J549" s="616"/>
      <c r="K549" s="92"/>
      <c r="L549" s="92">
        <f ca="1">IFERROR(__xludf.DUMMYFUNCTION("IMPORTRANGE(""https://docs.google.com/spreadsheets/d/1QqKyyYR6Q21VydFLVH3TRQUabQu_ym0Zz7PgGX0-kHA/edit?usp=sharing"",""แผน!HB83"")"),75300)</f>
        <v>75300</v>
      </c>
      <c r="M549" s="92">
        <f ca="1">L549</f>
        <v>75300</v>
      </c>
      <c r="N549" s="92">
        <f>N550+N551+N552+N553+N554</f>
        <v>75300</v>
      </c>
      <c r="O549" s="92">
        <f t="shared" ca="1" si="88"/>
        <v>100</v>
      </c>
      <c r="P549" s="92">
        <f t="shared" ca="1" si="89"/>
        <v>100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826">
        <v>0</v>
      </c>
      <c r="O550" s="497"/>
      <c r="P550" s="497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826">
        <v>0</v>
      </c>
      <c r="O551" s="497"/>
      <c r="P551" s="497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826">
        <v>0</v>
      </c>
      <c r="O552" s="497"/>
      <c r="P552" s="497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826">
        <v>75300</v>
      </c>
      <c r="O553" s="497"/>
      <c r="P553" s="497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826">
        <v>0</v>
      </c>
      <c r="O554" s="497"/>
      <c r="P554" s="497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IFERROR(__xludf.DUMMYFUNCTION("IMPORTRANGE(""https://docs.google.com/spreadsheets/d/1QqKyyYR6Q21VydFLVH3TRQUabQu_ym0Zz7PgGX0-kHA/edit?usp=sharing"",""แผน!HF83"")"),0)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 hidden="1">
      <c r="A558" s="607"/>
      <c r="B558" s="617"/>
      <c r="C558" s="574" t="s">
        <v>16</v>
      </c>
      <c r="D558" s="841" t="s">
        <v>38</v>
      </c>
      <c r="E558" s="760"/>
      <c r="F558" s="760"/>
      <c r="G558" s="612"/>
      <c r="H558" s="761"/>
      <c r="I558" s="183"/>
      <c r="J558" s="183"/>
      <c r="K558" s="162"/>
      <c r="L558" s="162"/>
      <c r="M558" s="162"/>
      <c r="N558" s="162"/>
      <c r="O558" s="162"/>
      <c r="P558" s="162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 hidden="1">
      <c r="A559" s="691"/>
      <c r="B559" s="692" t="s">
        <v>234</v>
      </c>
      <c r="C559" s="693"/>
      <c r="D559" s="693"/>
      <c r="E559" s="672"/>
      <c r="F559" s="672"/>
      <c r="G559" s="673"/>
      <c r="H559" s="694" t="s">
        <v>46</v>
      </c>
      <c r="I559" s="707">
        <f ca="1">I576</f>
        <v>0</v>
      </c>
      <c r="J559" s="707">
        <f>J576</f>
        <v>0</v>
      </c>
      <c r="K559" s="676">
        <f ca="1">IF(I559&gt;0,J559*100/I559,0)</f>
        <v>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 hidden="1">
      <c r="A560" s="607"/>
      <c r="B560" s="617"/>
      <c r="C560" s="624" t="s">
        <v>235</v>
      </c>
      <c r="D560" s="617"/>
      <c r="E560" s="625"/>
      <c r="F560" s="625"/>
      <c r="G560" s="761"/>
      <c r="H560" s="766" t="s">
        <v>46</v>
      </c>
      <c r="I560" s="192">
        <f ca="1">IFERROR(__xludf.DUMMYFUNCTION("IMPORTRANGE(""https://docs.google.com/spreadsheets/d/1QqKyyYR6Q21VydFLVH3TRQUabQu_ym0Zz7PgGX0-kHA/edit?usp=sharing"",""แผน!HH83"")"),0)</f>
        <v>0</v>
      </c>
      <c r="J560" s="192">
        <f>J562+J564+J566</f>
        <v>0</v>
      </c>
      <c r="K560" s="411">
        <f ca="1">IF(I560&gt;0,J560*100/I560,0)</f>
        <v>0</v>
      </c>
      <c r="L560" s="162"/>
      <c r="M560" s="162"/>
      <c r="N560" s="162"/>
      <c r="O560" s="162"/>
      <c r="P560" s="162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 hidden="1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2">
        <f ca="1">IFERROR(__xludf.DUMMYFUNCTION("IMPORTRANGE(""https://docs.google.com/spreadsheets/d/1QqKyyYR6Q21VydFLVH3TRQUabQu_ym0Zz7PgGX0-kHA/edit?usp=sharing"",""แผน!HG83"")"),0)</f>
        <v>0</v>
      </c>
      <c r="J561" s="192">
        <f>J563+J565+J567</f>
        <v>0</v>
      </c>
      <c r="K561" s="411">
        <f ca="1">IF(I561&gt;0,J561*100/I561,0)</f>
        <v>0</v>
      </c>
      <c r="L561" s="162"/>
      <c r="M561" s="162"/>
      <c r="N561" s="162"/>
      <c r="O561" s="162"/>
      <c r="P561" s="162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 hidden="1">
      <c r="A562" s="607"/>
      <c r="B562" s="617"/>
      <c r="C562" s="617"/>
      <c r="D562" s="625" t="s">
        <v>236</v>
      </c>
      <c r="E562" s="625"/>
      <c r="F562" s="625"/>
      <c r="G562" s="761"/>
      <c r="H562" s="763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 hidden="1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 hidden="1">
      <c r="A564" s="607"/>
      <c r="B564" s="617"/>
      <c r="C564" s="617"/>
      <c r="D564" s="625" t="s">
        <v>237</v>
      </c>
      <c r="E564" s="625"/>
      <c r="F564" s="625"/>
      <c r="G564" s="761"/>
      <c r="H564" s="763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 hidden="1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 hidden="1">
      <c r="A566" s="607"/>
      <c r="B566" s="617"/>
      <c r="C566" s="617"/>
      <c r="D566" s="625" t="s">
        <v>238</v>
      </c>
      <c r="E566" s="625"/>
      <c r="F566" s="625"/>
      <c r="G566" s="761"/>
      <c r="H566" s="763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 hidden="1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 hidden="1">
      <c r="A568" s="607"/>
      <c r="B568" s="617"/>
      <c r="C568" s="624" t="s">
        <v>239</v>
      </c>
      <c r="D568" s="625"/>
      <c r="E568" s="625"/>
      <c r="F568" s="625"/>
      <c r="G568" s="761"/>
      <c r="H568" s="766" t="s">
        <v>46</v>
      </c>
      <c r="I568" s="192">
        <f ca="1">IFERROR(__xludf.DUMMYFUNCTION("IMPORTRANGE(""https://docs.google.com/spreadsheets/d/1QqKyyYR6Q21VydFLVH3TRQUabQu_ym0Zz7PgGX0-kHA/edit?usp=sharing"",""แผน!HH83"")"),0)</f>
        <v>0</v>
      </c>
      <c r="J568" s="680">
        <f>J570+J572+J574</f>
        <v>0</v>
      </c>
      <c r="K568" s="411">
        <f ca="1">IF(I568&gt;0,J568*100/I568,0)</f>
        <v>0</v>
      </c>
      <c r="L568" s="162"/>
      <c r="M568" s="162"/>
      <c r="N568" s="162"/>
      <c r="O568" s="162"/>
      <c r="P568" s="162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 hidden="1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2">
        <f ca="1">IFERROR(__xludf.DUMMYFUNCTION("IMPORTRANGE(""https://docs.google.com/spreadsheets/d/1QqKyyYR6Q21VydFLVH3TRQUabQu_ym0Zz7PgGX0-kHA/edit?usp=sharing"",""แผน!HG83"")"),0)</f>
        <v>0</v>
      </c>
      <c r="J569" s="680">
        <f>J571+J573+J575</f>
        <v>0</v>
      </c>
      <c r="K569" s="411">
        <f ca="1">IF(I569&gt;0,J569*100/I569,0)</f>
        <v>0</v>
      </c>
      <c r="L569" s="162"/>
      <c r="M569" s="162"/>
      <c r="N569" s="162"/>
      <c r="O569" s="162"/>
      <c r="P569" s="162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 hidden="1">
      <c r="A570" s="607"/>
      <c r="B570" s="617"/>
      <c r="C570" s="617"/>
      <c r="D570" s="625" t="s">
        <v>240</v>
      </c>
      <c r="E570" s="617"/>
      <c r="F570" s="625"/>
      <c r="G570" s="761"/>
      <c r="H570" s="763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 hidden="1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 hidden="1">
      <c r="A572" s="607"/>
      <c r="B572" s="617"/>
      <c r="C572" s="617"/>
      <c r="D572" s="625" t="s">
        <v>241</v>
      </c>
      <c r="E572" s="625"/>
      <c r="F572" s="625"/>
      <c r="G572" s="761"/>
      <c r="H572" s="763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 hidden="1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 hidden="1">
      <c r="A574" s="607"/>
      <c r="B574" s="617"/>
      <c r="C574" s="617"/>
      <c r="D574" s="625" t="s">
        <v>242</v>
      </c>
      <c r="E574" s="625"/>
      <c r="F574" s="625"/>
      <c r="G574" s="761"/>
      <c r="H574" s="763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 hidden="1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 hidden="1">
      <c r="A576" s="607"/>
      <c r="B576" s="617"/>
      <c r="C576" s="624" t="s">
        <v>243</v>
      </c>
      <c r="D576" s="617"/>
      <c r="E576" s="617"/>
      <c r="F576" s="625"/>
      <c r="G576" s="761"/>
      <c r="H576" s="766" t="s">
        <v>46</v>
      </c>
      <c r="I576" s="192">
        <f ca="1">IFERROR(__xludf.DUMMYFUNCTION("IMPORTRANGE(""https://docs.google.com/spreadsheets/d/1QqKyyYR6Q21VydFLVH3TRQUabQu_ym0Zz7PgGX0-kHA/edit?usp=sharing"",""แผน!HH83"")"),0)</f>
        <v>0</v>
      </c>
      <c r="J576" s="680">
        <f>J578+J580+J582+J588+J590</f>
        <v>0</v>
      </c>
      <c r="K576" s="411">
        <f ca="1">IF(I576&gt;0,J576*100/I576,0)</f>
        <v>0</v>
      </c>
      <c r="L576" s="162"/>
      <c r="M576" s="162"/>
      <c r="N576" s="162"/>
      <c r="O576" s="162"/>
      <c r="P576" s="162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 hidden="1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2">
        <f ca="1">IFERROR(__xludf.DUMMYFUNCTION("IMPORTRANGE(""https://docs.google.com/spreadsheets/d/1QqKyyYR6Q21VydFLVH3TRQUabQu_ym0Zz7PgGX0-kHA/edit?usp=sharing"",""แผน!HG83"")"),0)</f>
        <v>0</v>
      </c>
      <c r="J577" s="680">
        <f>J579+J581+J583+J589+J591</f>
        <v>0</v>
      </c>
      <c r="K577" s="411">
        <f ca="1">IF(I577&gt;0,J577*100/I577,0)</f>
        <v>0</v>
      </c>
      <c r="L577" s="162"/>
      <c r="M577" s="162"/>
      <c r="N577" s="162"/>
      <c r="O577" s="162"/>
      <c r="P577" s="162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 hidden="1">
      <c r="A578" s="607"/>
      <c r="B578" s="617"/>
      <c r="C578" s="617"/>
      <c r="D578" s="625" t="s">
        <v>244</v>
      </c>
      <c r="E578" s="625"/>
      <c r="F578" s="625"/>
      <c r="G578" s="761"/>
      <c r="H578" s="763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 hidden="1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 hidden="1">
      <c r="A580" s="607"/>
      <c r="B580" s="617"/>
      <c r="C580" s="617"/>
      <c r="D580" s="625" t="s">
        <v>245</v>
      </c>
      <c r="E580" s="625"/>
      <c r="F580" s="625"/>
      <c r="G580" s="761"/>
      <c r="H580" s="763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 hidden="1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 hidden="1">
      <c r="A582" s="607"/>
      <c r="B582" s="617"/>
      <c r="C582" s="617"/>
      <c r="D582" s="625" t="s">
        <v>246</v>
      </c>
      <c r="E582" s="625"/>
      <c r="F582" s="625"/>
      <c r="G582" s="761"/>
      <c r="H582" s="763" t="s">
        <v>46</v>
      </c>
      <c r="I582" s="183"/>
      <c r="J582" s="680">
        <f>J584+J586</f>
        <v>0</v>
      </c>
      <c r="K582" s="411"/>
      <c r="L582" s="162"/>
      <c r="M582" s="162"/>
      <c r="N582" s="162"/>
      <c r="O582" s="162"/>
      <c r="P582" s="162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 hidden="1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3"/>
      <c r="J583" s="680">
        <f>J585+J587</f>
        <v>0</v>
      </c>
      <c r="K583" s="411"/>
      <c r="L583" s="162"/>
      <c r="M583" s="162"/>
      <c r="N583" s="162"/>
      <c r="O583" s="162"/>
      <c r="P583" s="162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 hidden="1">
      <c r="A584" s="607"/>
      <c r="B584" s="617"/>
      <c r="C584" s="617"/>
      <c r="D584" s="617"/>
      <c r="E584" s="625" t="s">
        <v>247</v>
      </c>
      <c r="F584" s="625"/>
      <c r="G584" s="761"/>
      <c r="H584" s="763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 hidden="1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 hidden="1">
      <c r="A586" s="607"/>
      <c r="B586" s="617"/>
      <c r="C586" s="617"/>
      <c r="D586" s="617"/>
      <c r="E586" s="625" t="s">
        <v>248</v>
      </c>
      <c r="F586" s="625"/>
      <c r="G586" s="761"/>
      <c r="H586" s="763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 hidden="1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 hidden="1">
      <c r="A588" s="607"/>
      <c r="B588" s="617"/>
      <c r="C588" s="617"/>
      <c r="D588" s="625" t="s">
        <v>249</v>
      </c>
      <c r="E588" s="625"/>
      <c r="F588" s="625"/>
      <c r="G588" s="761"/>
      <c r="H588" s="763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 hidden="1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 hidden="1">
      <c r="A590" s="607"/>
      <c r="B590" s="617"/>
      <c r="C590" s="617"/>
      <c r="D590" s="625" t="s">
        <v>250</v>
      </c>
      <c r="E590" s="625"/>
      <c r="F590" s="625"/>
      <c r="G590" s="761"/>
      <c r="H590" s="763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 hidden="1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251</v>
      </c>
      <c r="C592" s="693"/>
      <c r="D592" s="693"/>
      <c r="E592" s="672"/>
      <c r="F592" s="672"/>
      <c r="G592" s="673"/>
      <c r="H592" s="694" t="s">
        <v>46</v>
      </c>
      <c r="I592" s="702">
        <f ca="1">I593</f>
        <v>428.41</v>
      </c>
      <c r="J592" s="707">
        <f>J593</f>
        <v>428</v>
      </c>
      <c r="K592" s="676">
        <f ca="1">IF(I592&gt;0,J592*100/I592,0)</f>
        <v>99.90429728531079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252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IFERROR(__xludf.DUMMYFUNCTION("IMPORTRANGE(""https://docs.google.com/spreadsheets/d/1QqKyyYR6Q21VydFLVH3TRQUabQu_ym0Zz7PgGX0-kHA/edit?usp=sharing"",""แผน!HJ83"")"),428.41)</f>
        <v>428.41</v>
      </c>
      <c r="J593" s="192">
        <f>J595+J603+J609</f>
        <v>428</v>
      </c>
      <c r="K593" s="411">
        <f ca="1">IF(I593&gt;0,J593*100/I593,0)</f>
        <v>99.90429728531079</v>
      </c>
      <c r="L593" s="162"/>
      <c r="M593" s="162"/>
      <c r="N593" s="162"/>
      <c r="O593" s="162"/>
      <c r="P593" s="162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2">
        <f ca="1">IFERROR(__xludf.DUMMYFUNCTION("IMPORTRANGE(""https://docs.google.com/spreadsheets/d/1QqKyyYR6Q21VydFLVH3TRQUabQu_ym0Zz7PgGX0-kHA/edit?usp=sharing"",""แผน!HI83"")"),31)</f>
        <v>31</v>
      </c>
      <c r="J594" s="192">
        <f>J596+J604+J610</f>
        <v>31</v>
      </c>
      <c r="K594" s="411">
        <f ca="1">IF(I594&gt;0,J594*100/I594,0)</f>
        <v>100</v>
      </c>
      <c r="L594" s="162"/>
      <c r="M594" s="162"/>
      <c r="N594" s="162"/>
      <c r="O594" s="162"/>
      <c r="P594" s="162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253</v>
      </c>
      <c r="D595" s="617"/>
      <c r="E595" s="617"/>
      <c r="F595" s="625"/>
      <c r="G595" s="761"/>
      <c r="H595" s="763" t="s">
        <v>46</v>
      </c>
      <c r="I595" s="183"/>
      <c r="J595" s="183">
        <f>J597+J599</f>
        <v>0</v>
      </c>
      <c r="K595" s="162"/>
      <c r="L595" s="162"/>
      <c r="M595" s="162"/>
      <c r="N595" s="162"/>
      <c r="O595" s="162"/>
      <c r="P595" s="162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3"/>
      <c r="J596" s="183">
        <f>J598+J600</f>
        <v>0</v>
      </c>
      <c r="K596" s="162"/>
      <c r="L596" s="162"/>
      <c r="M596" s="162"/>
      <c r="N596" s="162"/>
      <c r="O596" s="162"/>
      <c r="P596" s="162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254</v>
      </c>
      <c r="E597" s="625"/>
      <c r="F597" s="625"/>
      <c r="G597" s="761"/>
      <c r="H597" s="763" t="s">
        <v>46</v>
      </c>
      <c r="I597" s="183"/>
      <c r="J597" s="214">
        <v>0</v>
      </c>
      <c r="K597" s="162"/>
      <c r="L597" s="162"/>
      <c r="M597" s="162"/>
      <c r="N597" s="162"/>
      <c r="O597" s="162"/>
      <c r="P597" s="162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69"/>
      <c r="J598" s="214">
        <v>0</v>
      </c>
      <c r="K598" s="162"/>
      <c r="L598" s="162"/>
      <c r="M598" s="162"/>
      <c r="N598" s="162"/>
      <c r="O598" s="162"/>
      <c r="P598" s="162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255</v>
      </c>
      <c r="E599" s="625"/>
      <c r="F599" s="625"/>
      <c r="G599" s="761"/>
      <c r="H599" s="763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256</v>
      </c>
      <c r="E601" s="625"/>
      <c r="F601" s="625"/>
      <c r="G601" s="761"/>
      <c r="H601" s="763" t="s">
        <v>46</v>
      </c>
      <c r="I601" s="269"/>
      <c r="J601" s="875">
        <v>0</v>
      </c>
      <c r="K601" s="162"/>
      <c r="L601" s="162"/>
      <c r="M601" s="162"/>
      <c r="N601" s="162"/>
      <c r="O601" s="162"/>
      <c r="P601" s="162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257</v>
      </c>
      <c r="D603" s="617"/>
      <c r="E603" s="617"/>
      <c r="F603" s="625"/>
      <c r="G603" s="761"/>
      <c r="H603" s="763" t="s">
        <v>46</v>
      </c>
      <c r="I603" s="269"/>
      <c r="J603" s="269">
        <f>J605+J607</f>
        <v>200</v>
      </c>
      <c r="K603" s="162"/>
      <c r="L603" s="162"/>
      <c r="M603" s="162"/>
      <c r="N603" s="162"/>
      <c r="O603" s="162"/>
      <c r="P603" s="162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69"/>
      <c r="J604" s="269">
        <f>J606+J608</f>
        <v>16</v>
      </c>
      <c r="K604" s="162"/>
      <c r="L604" s="162"/>
      <c r="M604" s="162"/>
      <c r="N604" s="162"/>
      <c r="O604" s="162"/>
      <c r="P604" s="162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258</v>
      </c>
      <c r="E605" s="625"/>
      <c r="F605" s="625"/>
      <c r="G605" s="761"/>
      <c r="H605" s="763" t="s">
        <v>46</v>
      </c>
      <c r="I605" s="269"/>
      <c r="J605" s="875">
        <v>200</v>
      </c>
      <c r="K605" s="162"/>
      <c r="L605" s="162"/>
      <c r="M605" s="162"/>
      <c r="N605" s="162"/>
      <c r="O605" s="162"/>
      <c r="P605" s="162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69"/>
      <c r="J606" s="214">
        <v>16</v>
      </c>
      <c r="K606" s="162"/>
      <c r="L606" s="162"/>
      <c r="M606" s="162"/>
      <c r="N606" s="162"/>
      <c r="O606" s="162"/>
      <c r="P606" s="162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259</v>
      </c>
      <c r="E607" s="617"/>
      <c r="F607" s="625"/>
      <c r="G607" s="761"/>
      <c r="H607" s="763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260</v>
      </c>
      <c r="D609" s="617"/>
      <c r="E609" s="617"/>
      <c r="F609" s="625"/>
      <c r="G609" s="761"/>
      <c r="H609" s="763" t="s">
        <v>46</v>
      </c>
      <c r="I609" s="269"/>
      <c r="J609" s="875">
        <v>228</v>
      </c>
      <c r="K609" s="162"/>
      <c r="L609" s="162"/>
      <c r="M609" s="162"/>
      <c r="N609" s="162"/>
      <c r="O609" s="162"/>
      <c r="P609" s="162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69"/>
      <c r="J610" s="214">
        <v>15</v>
      </c>
      <c r="K610" s="162"/>
      <c r="L610" s="162"/>
      <c r="M610" s="162"/>
      <c r="N610" s="162"/>
      <c r="O610" s="162"/>
      <c r="P610" s="162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261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262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>J614+J616</f>
        <v>0</v>
      </c>
      <c r="K612" s="716">
        <f>IF(I612&gt;0,J612*100/I612,0)</f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263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>J615+J617</f>
        <v>0</v>
      </c>
      <c r="K613" s="716">
        <f>IF(I613&gt;0,J613*100/I613,0)</f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264</v>
      </c>
      <c r="E614" s="615"/>
      <c r="F614" s="719"/>
      <c r="G614" s="365"/>
      <c r="H614" s="369" t="s">
        <v>46</v>
      </c>
      <c r="I614" s="616"/>
      <c r="J614" s="616">
        <v>0</v>
      </c>
      <c r="K614" s="166"/>
      <c r="L614" s="166"/>
      <c r="M614" s="166"/>
      <c r="N614" s="166"/>
      <c r="O614" s="166"/>
      <c r="P614" s="166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5"/>
      <c r="H615" s="369" t="s">
        <v>34</v>
      </c>
      <c r="I615" s="616"/>
      <c r="J615" s="616">
        <v>0</v>
      </c>
      <c r="K615" s="166"/>
      <c r="L615" s="166"/>
      <c r="M615" s="166"/>
      <c r="N615" s="166"/>
      <c r="O615" s="166"/>
      <c r="P615" s="166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264</v>
      </c>
      <c r="E616" s="719"/>
      <c r="F616" s="719"/>
      <c r="G616" s="365"/>
      <c r="H616" s="369" t="s">
        <v>46</v>
      </c>
      <c r="I616" s="616"/>
      <c r="J616" s="616">
        <v>0</v>
      </c>
      <c r="K616" s="166"/>
      <c r="L616" s="166"/>
      <c r="M616" s="166"/>
      <c r="N616" s="166"/>
      <c r="O616" s="166"/>
      <c r="P616" s="166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5"/>
      <c r="H617" s="369" t="s">
        <v>34</v>
      </c>
      <c r="I617" s="616"/>
      <c r="J617" s="616">
        <v>0</v>
      </c>
      <c r="K617" s="166"/>
      <c r="L617" s="166"/>
      <c r="M617" s="166"/>
      <c r="N617" s="166"/>
      <c r="O617" s="166"/>
      <c r="P617" s="166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265</v>
      </c>
      <c r="E618" s="719"/>
      <c r="F618" s="719"/>
      <c r="G618" s="365"/>
      <c r="H618" s="369" t="s">
        <v>46</v>
      </c>
      <c r="I618" s="616"/>
      <c r="J618" s="616">
        <v>0</v>
      </c>
      <c r="K618" s="166"/>
      <c r="L618" s="166"/>
      <c r="M618" s="166"/>
      <c r="N618" s="166"/>
      <c r="O618" s="166"/>
      <c r="P618" s="166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5"/>
      <c r="H619" s="369" t="s">
        <v>34</v>
      </c>
      <c r="I619" s="616"/>
      <c r="J619" s="616">
        <v>0</v>
      </c>
      <c r="K619" s="166"/>
      <c r="L619" s="166"/>
      <c r="M619" s="166"/>
      <c r="N619" s="166"/>
      <c r="O619" s="166"/>
      <c r="P619" s="166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266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IFERROR(__xludf.DUMMYFUNCTION("IMPORTRANGE(""https://docs.google.com/spreadsheets/d/1QqKyyYR6Q21VydFLVH3TRQUabQu_ym0Zz7PgGX0-kHA/edit?usp=sharing"",""แผน!HL83"")"),0)</f>
        <v>0</v>
      </c>
      <c r="J620" s="727">
        <f>J622+J624+J626</f>
        <v>0</v>
      </c>
      <c r="K620" s="728">
        <f ca="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267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IFERROR(__xludf.DUMMYFUNCTION("IMPORTRANGE(""https://docs.google.com/spreadsheets/d/1QqKyyYR6Q21VydFLVH3TRQUabQu_ym0Zz7PgGX0-kHA/edit?usp=sharing"",""แผน!HK83"")"),0)</f>
        <v>0</v>
      </c>
      <c r="J621" s="727">
        <f>J623+J625+J627</f>
        <v>0</v>
      </c>
      <c r="K621" s="728">
        <f ca="1">IF(I621&gt;0,J621*100/I621,0)</f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268</v>
      </c>
      <c r="E622" s="625"/>
      <c r="F622" s="625"/>
      <c r="G622" s="761"/>
      <c r="H622" s="763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264</v>
      </c>
      <c r="E624" s="625"/>
      <c r="F624" s="625"/>
      <c r="G624" s="761"/>
      <c r="H624" s="763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269</v>
      </c>
      <c r="E626" s="625"/>
      <c r="F626" s="625"/>
      <c r="G626" s="761"/>
      <c r="H626" s="763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2" t="s">
        <v>34</v>
      </c>
      <c r="I627" s="505"/>
      <c r="J627" s="424">
        <v>0</v>
      </c>
      <c r="K627" s="384"/>
      <c r="L627" s="384"/>
      <c r="M627" s="384"/>
      <c r="N627" s="384"/>
      <c r="O627" s="384"/>
      <c r="P627" s="384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270</v>
      </c>
      <c r="C628" s="737"/>
      <c r="D628" s="737"/>
      <c r="E628" s="737"/>
      <c r="F628" s="737"/>
      <c r="G628" s="738"/>
      <c r="H628" s="739" t="s">
        <v>35</v>
      </c>
      <c r="I628" s="740">
        <f ca="1">I651</f>
        <v>0</v>
      </c>
      <c r="J628" s="740">
        <f ca="1">J651</f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87" t="s">
        <v>17</v>
      </c>
      <c r="E629" s="888"/>
      <c r="F629" s="888"/>
      <c r="G629" s="188"/>
      <c r="H629" s="597" t="s">
        <v>12</v>
      </c>
      <c r="I629" s="269"/>
      <c r="J629" s="269"/>
      <c r="K629" s="497"/>
      <c r="L629" s="194">
        <f ca="1">L630+L631</f>
        <v>0</v>
      </c>
      <c r="M629" s="194">
        <f>M630+M631</f>
        <v>0</v>
      </c>
      <c r="N629" s="194">
        <f>N630+N631</f>
        <v>0</v>
      </c>
      <c r="O629" s="194">
        <f t="shared" ref="O629:O634" ca="1" si="90">IF(L629&gt;0,N629*100/L629,0)</f>
        <v>0</v>
      </c>
      <c r="P629" s="194">
        <f t="shared" ref="P629:P634" si="91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184</v>
      </c>
      <c r="F630" s="758"/>
      <c r="G630" s="602"/>
      <c r="H630" s="164" t="s">
        <v>12</v>
      </c>
      <c r="I630" s="616"/>
      <c r="J630" s="616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185</v>
      </c>
      <c r="F631" s="758"/>
      <c r="G631" s="602"/>
      <c r="H631" s="164" t="s">
        <v>12</v>
      </c>
      <c r="I631" s="616"/>
      <c r="J631" s="616"/>
      <c r="K631" s="92"/>
      <c r="L631" s="92">
        <f t="shared" ca="1" si="92"/>
        <v>0</v>
      </c>
      <c r="M631" s="92">
        <f t="shared" si="92"/>
        <v>0</v>
      </c>
      <c r="N631" s="92">
        <f t="shared" si="92"/>
        <v>0</v>
      </c>
      <c r="O631" s="92">
        <f t="shared" ca="1" si="90"/>
        <v>0</v>
      </c>
      <c r="P631" s="92">
        <f t="shared" si="91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8"/>
      <c r="H632" s="160" t="s">
        <v>12</v>
      </c>
      <c r="I632" s="183"/>
      <c r="J632" s="183"/>
      <c r="K632" s="162"/>
      <c r="L632" s="497">
        <f ca="1">L633+L634</f>
        <v>0</v>
      </c>
      <c r="M632" s="497">
        <f>M633+M634</f>
        <v>0</v>
      </c>
      <c r="N632" s="497">
        <f>N633+N634</f>
        <v>0</v>
      </c>
      <c r="O632" s="497">
        <f t="shared" ca="1" si="90"/>
        <v>0</v>
      </c>
      <c r="P632" s="497">
        <f t="shared" si="91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184</v>
      </c>
      <c r="F633" s="758"/>
      <c r="G633" s="602"/>
      <c r="H633" s="164" t="s">
        <v>12</v>
      </c>
      <c r="I633" s="616"/>
      <c r="J633" s="616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185</v>
      </c>
      <c r="F634" s="758"/>
      <c r="G634" s="602"/>
      <c r="H634" s="164" t="s">
        <v>12</v>
      </c>
      <c r="I634" s="616"/>
      <c r="J634" s="616"/>
      <c r="K634" s="92"/>
      <c r="L634" s="92">
        <f ca="1">IFERROR(__xludf.DUMMYFUNCTION("IMPORTRANGE(""https://docs.google.com/spreadsheets/d/1QqKyyYR6Q21VydFLVH3TRQUabQu_ym0Zz7PgGX0-kHA/edit?usp=sharing"",""แผน!HN83"")"),0)</f>
        <v>0</v>
      </c>
      <c r="M634" s="92">
        <v>0</v>
      </c>
      <c r="N634" s="92">
        <f>N635+N636+N637+N638</f>
        <v>0</v>
      </c>
      <c r="O634" s="92">
        <f t="shared" ca="1" si="90"/>
        <v>0</v>
      </c>
      <c r="P634" s="92">
        <f t="shared" si="91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826">
        <v>0</v>
      </c>
      <c r="O635" s="497"/>
      <c r="P635" s="497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826">
        <v>0</v>
      </c>
      <c r="O636" s="497"/>
      <c r="P636" s="497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826">
        <v>0</v>
      </c>
      <c r="O637" s="497"/>
      <c r="P637" s="497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826">
        <v>0</v>
      </c>
      <c r="O638" s="497"/>
      <c r="P638" s="497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IFERROR(__xludf.DUMMYFUNCTION("IMPORTRANGE(""https://docs.google.com/spreadsheets/d/1QqKyyYR6Q21VydFLVH3TRQUabQu_ym0Zz7PgGX0-kHA/edit?usp=sharing"",""แผน!HQ83"")"),0)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41" t="s">
        <v>38</v>
      </c>
      <c r="E642" s="760"/>
      <c r="F642" s="760"/>
      <c r="G642" s="612"/>
      <c r="H642" s="761"/>
      <c r="I642" s="183"/>
      <c r="J642" s="183"/>
      <c r="K642" s="162"/>
      <c r="L642" s="162"/>
      <c r="M642" s="162"/>
      <c r="N642" s="162"/>
      <c r="O642" s="162"/>
      <c r="P642" s="162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271</v>
      </c>
      <c r="F643" s="625"/>
      <c r="G643" s="761"/>
      <c r="H643" s="763" t="s">
        <v>272</v>
      </c>
      <c r="I643" s="269">
        <f ca="1">IFERROR(__xludf.DUMMYFUNCTION("IMPORTRANGE(""https://docs.google.com/spreadsheets/d/1QqKyyYR6Q21VydFLVH3TRQUabQu_ym0Zz7PgGX0-kHA/edit?usp=sharing"",""แผน!HR83"")"),0)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273</v>
      </c>
      <c r="F644" s="625"/>
      <c r="G644" s="761"/>
      <c r="H644" s="763" t="s">
        <v>274</v>
      </c>
      <c r="I644" s="269">
        <f ca="1">IFERROR(__xludf.DUMMYFUNCTION("IMPORTRANGE(""https://docs.google.com/spreadsheets/d/1QqKyyYR6Q21VydFLVH3TRQUabQu_ym0Zz7PgGX0-kHA/edit?usp=sharing"",""แผน!HR83"")"),0)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275</v>
      </c>
      <c r="F645" s="625"/>
      <c r="G645" s="761"/>
      <c r="H645" s="763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IFERROR(__xludf.DUMMYFUNCTION("IMPORTRANGE(""https://docs.google.com/spreadsheets/d/1XWAQStnk-4SwqDmLtmXYiTMKHgktTP8We1SCoS47DrQ/edit?usp=sharing"",""จัดที่ดิน!AS83"")"),0)</f>
        <v>0</v>
      </c>
      <c r="K645" s="162">
        <f t="shared" si="93"/>
        <v>0</v>
      </c>
      <c r="L645" s="162"/>
      <c r="M645" s="162"/>
      <c r="N645" s="497"/>
      <c r="O645" s="162"/>
      <c r="P645" s="162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IFERROR(__xludf.DUMMYFUNCTION("IMPORTRANGE(""https://docs.google.com/spreadsheets/d/1XWAQStnk-4SwqDmLtmXYiTMKHgktTP8We1SCoS47DrQ/edit?usp=sharing"",""จัดที่ดิน!AT83"")"),0)</f>
        <v>0</v>
      </c>
      <c r="K646" s="497">
        <f t="shared" si="93"/>
        <v>0</v>
      </c>
      <c r="L646" s="162"/>
      <c r="M646" s="162"/>
      <c r="N646" s="497"/>
      <c r="O646" s="162"/>
      <c r="P646" s="162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69">
        <f ca="1">IFERROR(__xludf.DUMMYFUNCTION("IMPORTRANGE(""https://docs.google.com/spreadsheets/d/1QqKyyYR6Q21VydFLVH3TRQUabQu_ym0Zz7PgGX0-kHA/edit?usp=sharing"",""แผน!HS83"")"),0)</f>
        <v>0</v>
      </c>
      <c r="J647" s="269">
        <f ca="1">IFERROR(__xludf.DUMMYFUNCTION("IMPORTRANGE(""https://docs.google.com/spreadsheets/d/1XWAQStnk-4SwqDmLtmXYiTMKHgktTP8We1SCoS47DrQ/edit?usp=sharing"",""จัดที่ดิน!AU83"")"),0)</f>
        <v>0</v>
      </c>
      <c r="K647" s="162">
        <f t="shared" ca="1" si="93"/>
        <v>0</v>
      </c>
      <c r="L647" s="162"/>
      <c r="M647" s="162"/>
      <c r="N647" s="162"/>
      <c r="O647" s="162"/>
      <c r="P647" s="162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IFERROR(__xludf.DUMMYFUNCTION("IMPORTRANGE(""https://docs.google.com/spreadsheets/d/1XWAQStnk-4SwqDmLtmXYiTMKHgktTP8We1SCoS47DrQ/edit?usp=sharing"",""จัดที่ดิน!AV83"")"),0)</f>
        <v>0</v>
      </c>
      <c r="K648" s="497">
        <f t="shared" si="93"/>
        <v>0</v>
      </c>
      <c r="L648" s="162"/>
      <c r="M648" s="162"/>
      <c r="N648" s="162"/>
      <c r="O648" s="162"/>
      <c r="P648" s="162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276</v>
      </c>
      <c r="F649" s="625"/>
      <c r="G649" s="761"/>
      <c r="H649" s="763" t="s">
        <v>35</v>
      </c>
      <c r="I649" s="269">
        <f ca="1">IFERROR(__xludf.DUMMYFUNCTION("IMPORTRANGE(""https://docs.google.com/spreadsheets/d/1QqKyyYR6Q21VydFLVH3TRQUabQu_ym0Zz7PgGX0-kHA/edit?usp=sharing"",""แผน!HS83"")"),0)</f>
        <v>0</v>
      </c>
      <c r="J649" s="269">
        <f ca="1">IFERROR(__xludf.DUMMYFUNCTION("IMPORTRANGE(""https://docs.google.com/spreadsheets/d/1XWAQStnk-4SwqDmLtmXYiTMKHgktTP8We1SCoS47DrQ/edit?usp=sharing"",""จัดที่ดิน!AW83"")"),0)</f>
        <v>0</v>
      </c>
      <c r="K649" s="162">
        <f t="shared" ca="1" si="93"/>
        <v>0</v>
      </c>
      <c r="L649" s="162"/>
      <c r="M649" s="162"/>
      <c r="N649" s="162"/>
      <c r="O649" s="162"/>
      <c r="P649" s="162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IFERROR(__xludf.DUMMYFUNCTION("IMPORTRANGE(""https://docs.google.com/spreadsheets/d/1XWAQStnk-4SwqDmLtmXYiTMKHgktTP8We1SCoS47DrQ/edit?usp=sharing"",""จัดที่ดิน!AX83"")"),0)</f>
        <v>0</v>
      </c>
      <c r="K650" s="497">
        <f t="shared" si="93"/>
        <v>0</v>
      </c>
      <c r="L650" s="162"/>
      <c r="M650" s="162"/>
      <c r="N650" s="162"/>
      <c r="O650" s="162"/>
      <c r="P650" s="162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277</v>
      </c>
      <c r="F651" s="625"/>
      <c r="G651" s="761"/>
      <c r="H651" s="763" t="s">
        <v>35</v>
      </c>
      <c r="I651" s="269">
        <f ca="1">IFERROR(__xludf.DUMMYFUNCTION("IMPORTRANGE(""https://docs.google.com/spreadsheets/d/1QqKyyYR6Q21VydFLVH3TRQUabQu_ym0Zz7PgGX0-kHA/edit?usp=sharing"",""แผน!HS83"")"),0)</f>
        <v>0</v>
      </c>
      <c r="J651" s="269">
        <f ca="1">IFERROR(__xludf.DUMMYFUNCTION("IMPORTRANGE(""https://docs.google.com/spreadsheets/d/1XWAQStnk-4SwqDmLtmXYiTMKHgktTP8We1SCoS47DrQ/edit?usp=sharing"",""จัดที่ดิน!AY83"")"),0)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827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IFERROR(__xludf.DUMMYFUNCTION("IMPORTRANGE(""https://docs.google.com/spreadsheets/d/1XWAQStnk-4SwqDmLtmXYiTMKHgktTP8We1SCoS47DrQ/edit?usp=sharing"",""จัดที่ดิน!AZ83"")"),0)</f>
        <v>0</v>
      </c>
      <c r="K652" s="506">
        <f t="shared" si="93"/>
        <v>0</v>
      </c>
      <c r="L652" s="384"/>
      <c r="M652" s="384"/>
      <c r="N652" s="384"/>
      <c r="O652" s="384"/>
      <c r="P652" s="384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278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279</v>
      </c>
      <c r="C654" s="672"/>
      <c r="D654" s="672"/>
      <c r="E654" s="672"/>
      <c r="F654" s="672"/>
      <c r="G654" s="673"/>
      <c r="H654" s="706" t="s">
        <v>46</v>
      </c>
      <c r="I654" s="707">
        <f ca="1">I669</f>
        <v>0</v>
      </c>
      <c r="J654" s="707">
        <f>J669</f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87" t="s">
        <v>17</v>
      </c>
      <c r="E655" s="888"/>
      <c r="F655" s="888"/>
      <c r="G655" s="188"/>
      <c r="H655" s="597" t="s">
        <v>12</v>
      </c>
      <c r="I655" s="269"/>
      <c r="J655" s="269"/>
      <c r="K655" s="497"/>
      <c r="L655" s="194">
        <f ca="1">L656+L657</f>
        <v>0</v>
      </c>
      <c r="M655" s="194">
        <f>M656+M657</f>
        <v>0</v>
      </c>
      <c r="N655" s="194">
        <f>N656+N657</f>
        <v>0</v>
      </c>
      <c r="O655" s="194">
        <f t="shared" ref="O655:O660" ca="1" si="94">IF(L655&gt;0,N655*100/L655,0)</f>
        <v>0</v>
      </c>
      <c r="P655" s="194">
        <f t="shared" ref="P655:P660" si="9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184</v>
      </c>
      <c r="F656" s="758"/>
      <c r="G656" s="602"/>
      <c r="H656" s="164" t="s">
        <v>12</v>
      </c>
      <c r="I656" s="616"/>
      <c r="J656" s="616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185</v>
      </c>
      <c r="F657" s="758"/>
      <c r="G657" s="602"/>
      <c r="H657" s="164" t="s">
        <v>12</v>
      </c>
      <c r="I657" s="616"/>
      <c r="J657" s="616"/>
      <c r="K657" s="92"/>
      <c r="L657" s="92">
        <f t="shared" ca="1" si="96"/>
        <v>0</v>
      </c>
      <c r="M657" s="92">
        <f t="shared" si="96"/>
        <v>0</v>
      </c>
      <c r="N657" s="92">
        <f t="shared" si="96"/>
        <v>0</v>
      </c>
      <c r="O657" s="92">
        <f t="shared" ca="1" si="94"/>
        <v>0</v>
      </c>
      <c r="P657" s="92">
        <f t="shared" si="9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8"/>
      <c r="H658" s="160" t="s">
        <v>12</v>
      </c>
      <c r="I658" s="183"/>
      <c r="J658" s="183"/>
      <c r="K658" s="162"/>
      <c r="L658" s="497">
        <f ca="1">L659+L660</f>
        <v>0</v>
      </c>
      <c r="M658" s="497">
        <f>M659+M660</f>
        <v>0</v>
      </c>
      <c r="N658" s="497">
        <f>N659+N660</f>
        <v>0</v>
      </c>
      <c r="O658" s="497">
        <f t="shared" ca="1" si="94"/>
        <v>0</v>
      </c>
      <c r="P658" s="497">
        <f t="shared" si="9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184</v>
      </c>
      <c r="F659" s="758"/>
      <c r="G659" s="602"/>
      <c r="H659" s="164" t="s">
        <v>12</v>
      </c>
      <c r="I659" s="616"/>
      <c r="J659" s="616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185</v>
      </c>
      <c r="F660" s="758"/>
      <c r="G660" s="602"/>
      <c r="H660" s="164" t="s">
        <v>12</v>
      </c>
      <c r="I660" s="616"/>
      <c r="J660" s="616"/>
      <c r="K660" s="92"/>
      <c r="L660" s="92">
        <f ca="1">IFERROR(__xludf.DUMMYFUNCTION("IMPORTRANGE(""https://docs.google.com/spreadsheets/d/1QqKyyYR6Q21VydFLVH3TRQUabQu_ym0Zz7PgGX0-kHA/edit?usp=sharing"",""แผน!HV83"")"),0)</f>
        <v>0</v>
      </c>
      <c r="M660" s="92">
        <v>0</v>
      </c>
      <c r="N660" s="92">
        <f>N661+N662+N663+N664</f>
        <v>0</v>
      </c>
      <c r="O660" s="92">
        <f t="shared" ca="1" si="94"/>
        <v>0</v>
      </c>
      <c r="P660" s="92">
        <f t="shared" si="9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826">
        <v>0</v>
      </c>
      <c r="O661" s="497"/>
      <c r="P661" s="497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826">
        <v>0</v>
      </c>
      <c r="O662" s="497"/>
      <c r="P662" s="497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826">
        <v>0</v>
      </c>
      <c r="O663" s="497"/>
      <c r="P663" s="497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826">
        <v>0</v>
      </c>
      <c r="O664" s="497"/>
      <c r="P664" s="497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40" t="s">
        <v>38</v>
      </c>
      <c r="E668" s="760"/>
      <c r="F668" s="760"/>
      <c r="G668" s="612"/>
      <c r="H668" s="761"/>
      <c r="I668" s="183"/>
      <c r="J668" s="183"/>
      <c r="K668" s="162"/>
      <c r="L668" s="162"/>
      <c r="M668" s="162"/>
      <c r="N668" s="162"/>
      <c r="O668" s="162"/>
      <c r="P668" s="162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280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IFERROR(__xludf.DUMMYFUNCTION("IMPORTRANGE(""https://docs.google.com/spreadsheets/d/1QqKyyYR6Q21VydFLVH3TRQUabQu_ym0Zz7PgGX0-kHA/edit?usp=sharing"",""แผน!IA83"")"),0)</f>
        <v>0</v>
      </c>
      <c r="J669" s="680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281</v>
      </c>
      <c r="F670" s="625"/>
      <c r="G670" s="761"/>
      <c r="H670" s="763" t="s">
        <v>66</v>
      </c>
      <c r="I670" s="269">
        <f ca="1">IFERROR(__xludf.DUMMYFUNCTION("IMPORTRANGE(""https://docs.google.com/spreadsheets/d/1QqKyyYR6Q21VydFLVH3TRQUabQu_ym0Zz7PgGX0-kHA/edit?usp=sharing"",""แผน!HZ83"")"),0)</f>
        <v>0</v>
      </c>
      <c r="J670" s="214">
        <v>0</v>
      </c>
      <c r="K670" s="497">
        <f ca="1">IF(I670&gt;0,(J670*100)/I670,0)</f>
        <v>0</v>
      </c>
      <c r="L670" s="162"/>
      <c r="M670" s="162"/>
      <c r="N670" s="162"/>
      <c r="O670" s="162"/>
      <c r="P670" s="162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282</v>
      </c>
      <c r="F671" s="625"/>
      <c r="G671" s="761"/>
      <c r="H671" s="763" t="s">
        <v>66</v>
      </c>
      <c r="I671" s="269">
        <f ca="1">IFERROR(__xludf.DUMMYFUNCTION("IMPORTRANGE(""https://docs.google.com/spreadsheets/d/1QqKyyYR6Q21VydFLVH3TRQUabQu_ym0Zz7PgGX0-kHA/edit?usp=sharing"",""แผน!HZ83"")"),0)</f>
        <v>0</v>
      </c>
      <c r="J671" s="214">
        <v>0</v>
      </c>
      <c r="K671" s="497">
        <f ca="1">IF(I$671&gt;0,J671*100/I$671,0)</f>
        <v>0</v>
      </c>
      <c r="L671" s="162"/>
      <c r="M671" s="162"/>
      <c r="N671" s="162"/>
      <c r="O671" s="162"/>
      <c r="P671" s="162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283</v>
      </c>
      <c r="F672" s="625"/>
      <c r="G672" s="761"/>
      <c r="H672" s="763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284</v>
      </c>
      <c r="F673" s="625"/>
      <c r="G673" s="761"/>
      <c r="H673" s="763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285</v>
      </c>
      <c r="F674" s="625"/>
      <c r="G674" s="761"/>
      <c r="H674" s="763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286</v>
      </c>
      <c r="F675" s="625"/>
      <c r="G675" s="761"/>
      <c r="H675" s="763" t="s">
        <v>46</v>
      </c>
      <c r="I675" s="269"/>
      <c r="J675" s="680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287</v>
      </c>
      <c r="G676" s="761"/>
      <c r="H676" s="763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288</v>
      </c>
      <c r="G677" s="761"/>
      <c r="H677" s="763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289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IFERROR(__xludf.DUMMYFUNCTION("IMPORTRANGE(""https://docs.google.com/spreadsheets/d/1QqKyyYR6Q21VydFLVH3TRQUabQu_ym0Zz7PgGX0-kHA/edit?usp=sharing"",""แผน!IB83"")"),0)</f>
        <v>0</v>
      </c>
      <c r="J678" s="680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290</v>
      </c>
      <c r="F679" s="625"/>
      <c r="G679" s="761"/>
      <c r="H679" s="763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287</v>
      </c>
      <c r="G680" s="761"/>
      <c r="H680" s="763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288</v>
      </c>
      <c r="G681" s="761"/>
      <c r="H681" s="763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291</v>
      </c>
      <c r="F682" s="625"/>
      <c r="G682" s="761"/>
      <c r="H682" s="763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292</v>
      </c>
      <c r="G683" s="761"/>
      <c r="H683" s="763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293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87" t="s">
        <v>17</v>
      </c>
      <c r="E685" s="888"/>
      <c r="F685" s="888"/>
      <c r="G685" s="188"/>
      <c r="H685" s="597" t="s">
        <v>12</v>
      </c>
      <c r="I685" s="269"/>
      <c r="J685" s="269"/>
      <c r="K685" s="497"/>
      <c r="L685" s="194">
        <f ca="1">L686+L687</f>
        <v>0</v>
      </c>
      <c r="M685" s="194">
        <f>M686+M687</f>
        <v>0</v>
      </c>
      <c r="N685" s="194">
        <f>N686+N687</f>
        <v>0</v>
      </c>
      <c r="O685" s="194">
        <f ca="1">IF(L685&gt;0,N685*100/L685,0)</f>
        <v>0</v>
      </c>
      <c r="P685" s="194">
        <f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184</v>
      </c>
      <c r="F686" s="758"/>
      <c r="G686" s="602"/>
      <c r="H686" s="164" t="s">
        <v>12</v>
      </c>
      <c r="I686" s="616"/>
      <c r="J686" s="616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185</v>
      </c>
      <c r="F687" s="758"/>
      <c r="G687" s="602"/>
      <c r="H687" s="164" t="s">
        <v>12</v>
      </c>
      <c r="I687" s="616"/>
      <c r="J687" s="616"/>
      <c r="K687" s="92"/>
      <c r="L687" s="92">
        <f t="shared" ca="1" si="97"/>
        <v>0</v>
      </c>
      <c r="M687" s="92">
        <f t="shared" si="97"/>
        <v>0</v>
      </c>
      <c r="N687" s="92">
        <f t="shared" si="97"/>
        <v>0</v>
      </c>
      <c r="O687" s="92">
        <f ca="1">IF(L687&gt;0,N687*100/L687,0)</f>
        <v>0</v>
      </c>
      <c r="P687" s="92">
        <f>IF(M687&gt;0,N687*100/M687,0)</f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8"/>
      <c r="H688" s="160" t="s">
        <v>12</v>
      </c>
      <c r="I688" s="183"/>
      <c r="J688" s="183"/>
      <c r="K688" s="162"/>
      <c r="L688" s="497">
        <f ca="1">L689+L690</f>
        <v>0</v>
      </c>
      <c r="M688" s="497">
        <f>M689+M690</f>
        <v>0</v>
      </c>
      <c r="N688" s="497">
        <f>N689+N690</f>
        <v>0</v>
      </c>
      <c r="O688" s="497">
        <f ca="1">IF(L688&gt;0,N688*100/L688,0)</f>
        <v>0</v>
      </c>
      <c r="P688" s="497">
        <f>IF(M688&gt;0,N688*100/M688,0)</f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184</v>
      </c>
      <c r="F689" s="758"/>
      <c r="G689" s="602"/>
      <c r="H689" s="164" t="s">
        <v>12</v>
      </c>
      <c r="I689" s="616"/>
      <c r="J689" s="616"/>
      <c r="K689" s="92"/>
      <c r="L689" s="92">
        <v>0</v>
      </c>
      <c r="M689" s="92">
        <v>0</v>
      </c>
      <c r="N689" s="92">
        <v>0</v>
      </c>
      <c r="O689" s="92"/>
      <c r="P689" s="92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185</v>
      </c>
      <c r="F690" s="758"/>
      <c r="G690" s="602"/>
      <c r="H690" s="164" t="s">
        <v>12</v>
      </c>
      <c r="I690" s="616"/>
      <c r="J690" s="616"/>
      <c r="K690" s="92"/>
      <c r="L690" s="92">
        <f ca="1">IFERROR(__xludf.DUMMYFUNCTION("IMPORTRANGE(""https://docs.google.com/spreadsheets/d/1QqKyyYR6Q21VydFLVH3TRQUabQu_ym0Zz7PgGX0-kHA/edit?usp=sharing"",""แผน!HW83"")"),0)</f>
        <v>0</v>
      </c>
      <c r="M690" s="92">
        <v>0</v>
      </c>
      <c r="N690" s="92">
        <f>N691+N692+N693+N694</f>
        <v>0</v>
      </c>
      <c r="O690" s="92">
        <f ca="1">IF(L690&gt;0,N690*100/L690,0)</f>
        <v>0</v>
      </c>
      <c r="P690" s="92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826">
        <v>0</v>
      </c>
      <c r="O691" s="497"/>
      <c r="P691" s="497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826">
        <v>0</v>
      </c>
      <c r="O692" s="497"/>
      <c r="P692" s="497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826">
        <v>0</v>
      </c>
      <c r="O693" s="497"/>
      <c r="P693" s="497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826">
        <v>0</v>
      </c>
      <c r="O694" s="497"/>
      <c r="P694" s="497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38" t="s">
        <v>38</v>
      </c>
      <c r="E698" s="760"/>
      <c r="F698" s="760"/>
      <c r="G698" s="612"/>
      <c r="H698" s="761"/>
      <c r="I698" s="183"/>
      <c r="J698" s="183"/>
      <c r="K698" s="162"/>
      <c r="L698" s="162"/>
      <c r="M698" s="162"/>
      <c r="N698" s="162"/>
      <c r="O698" s="162"/>
      <c r="P698" s="162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294</v>
      </c>
      <c r="E699" s="762"/>
      <c r="F699" s="762"/>
      <c r="G699" s="188"/>
      <c r="H699" s="763" t="s">
        <v>46</v>
      </c>
      <c r="I699" s="764">
        <f ca="1">IFERROR(__xludf.DUMMYFUNCTION("IMPORTRANGE(""https://docs.google.com/spreadsheets/d/1QqKyyYR6Q21VydFLVH3TRQUabQu_ym0Zz7PgGX0-kHA/edit?usp=sharing"",""แผน!IC83"")"),0)</f>
        <v>0</v>
      </c>
      <c r="J699" s="269">
        <f ca="1">IFERROR(__xludf.DUMMYFUNCTION("IMPORTRANGE(""https://docs.google.com/spreadsheets/d/1XWAQStnk-4SwqDmLtmXYiTMKHgktTP8We1SCoS47DrQ/edit?usp=sharing"",""จัดที่ดิน!BB83"")"),0)</f>
        <v>0</v>
      </c>
      <c r="K699" s="497">
        <f ca="1">IF(I699&gt;0,J699*100/I699,0)</f>
        <v>0</v>
      </c>
      <c r="L699" s="497"/>
      <c r="M699" s="188"/>
      <c r="N699" s="765"/>
      <c r="O699" s="497"/>
      <c r="P699" s="497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295</v>
      </c>
      <c r="E700" s="762"/>
      <c r="F700" s="762"/>
      <c r="G700" s="188"/>
      <c r="H700" s="763" t="s">
        <v>35</v>
      </c>
      <c r="I700" s="764">
        <f ca="1">IFERROR(__xludf.DUMMYFUNCTION("IMPORTRANGE(""https://docs.google.com/spreadsheets/d/1QqKyyYR6Q21VydFLVH3TRQUabQu_ym0Zz7PgGX0-kHA/edit?usp=sharing"",""แผน!ID83"")"),0)</f>
        <v>0</v>
      </c>
      <c r="J700" s="269">
        <f ca="1">IFERROR(__xludf.DUMMYFUNCTION("IMPORTRANGE(""https://docs.google.com/spreadsheets/d/1XWAQStnk-4SwqDmLtmXYiTMKHgktTP8We1SCoS47DrQ/edit?usp=sharing"",""จัดที่ดิน!BD83"")"),0)</f>
        <v>0</v>
      </c>
      <c r="K700" s="497">
        <f ca="1">IF(I700&gt;0,J700*100/I700,0)</f>
        <v>0</v>
      </c>
      <c r="L700" s="497"/>
      <c r="M700" s="188"/>
      <c r="N700" s="765"/>
      <c r="O700" s="497"/>
      <c r="P700" s="497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296</v>
      </c>
      <c r="E701" s="762"/>
      <c r="F701" s="762"/>
      <c r="G701" s="188"/>
      <c r="H701" s="766" t="s">
        <v>46</v>
      </c>
      <c r="I701" s="767">
        <f ca="1">IFERROR(__xludf.DUMMYFUNCTION("IMPORTRANGE(""https://docs.google.com/spreadsheets/d/1QqKyyYR6Q21VydFLVH3TRQUabQu_ym0Zz7PgGX0-kHA/edit?usp=sharing"",""แผน!IE83"")"),0)</f>
        <v>0</v>
      </c>
      <c r="J701" s="680">
        <f>J704+J707</f>
        <v>0</v>
      </c>
      <c r="K701" s="194">
        <f ca="1">IF(I701&gt;0,J701*100/I701,0)</f>
        <v>0</v>
      </c>
      <c r="L701" s="497"/>
      <c r="M701" s="188"/>
      <c r="N701" s="765"/>
      <c r="O701" s="497"/>
      <c r="P701" s="497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297</v>
      </c>
      <c r="F702" s="762"/>
      <c r="G702" s="188"/>
      <c r="H702" s="763" t="s">
        <v>35</v>
      </c>
      <c r="I702" s="764"/>
      <c r="J702" s="214">
        <v>0</v>
      </c>
      <c r="K702" s="497"/>
      <c r="L702" s="497"/>
      <c r="M702" s="188"/>
      <c r="N702" s="765"/>
      <c r="O702" s="497"/>
      <c r="P702" s="497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8"/>
      <c r="H703" s="763" t="s">
        <v>34</v>
      </c>
      <c r="I703" s="764"/>
      <c r="J703" s="214">
        <v>0</v>
      </c>
      <c r="K703" s="497"/>
      <c r="L703" s="497"/>
      <c r="M703" s="188"/>
      <c r="N703" s="765"/>
      <c r="O703" s="497"/>
      <c r="P703" s="497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8"/>
      <c r="H704" s="763" t="s">
        <v>46</v>
      </c>
      <c r="I704" s="764">
        <f ca="1">IFERROR(__xludf.DUMMYFUNCTION("IMPORTRANGE(""https://docs.google.com/spreadsheets/d/1QqKyyYR6Q21VydFLVH3TRQUabQu_ym0Zz7PgGX0-kHA/edit?usp=sharing"",""แผน!IF83"")"),0)</f>
        <v>0</v>
      </c>
      <c r="J704" s="214">
        <v>0</v>
      </c>
      <c r="K704" s="497"/>
      <c r="L704" s="497"/>
      <c r="M704" s="188"/>
      <c r="N704" s="765"/>
      <c r="O704" s="497"/>
      <c r="P704" s="497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298</v>
      </c>
      <c r="F705" s="762"/>
      <c r="G705" s="188"/>
      <c r="H705" s="763" t="s">
        <v>35</v>
      </c>
      <c r="I705" s="764"/>
      <c r="J705" s="214">
        <v>0</v>
      </c>
      <c r="K705" s="497"/>
      <c r="L705" s="497"/>
      <c r="M705" s="188"/>
      <c r="N705" s="765"/>
      <c r="O705" s="497"/>
      <c r="P705" s="497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8"/>
      <c r="H706" s="763" t="s">
        <v>34</v>
      </c>
      <c r="I706" s="764"/>
      <c r="J706" s="214">
        <v>0</v>
      </c>
      <c r="K706" s="497"/>
      <c r="L706" s="497"/>
      <c r="M706" s="188"/>
      <c r="N706" s="765"/>
      <c r="O706" s="497"/>
      <c r="P706" s="497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8"/>
      <c r="H707" s="763" t="s">
        <v>46</v>
      </c>
      <c r="I707" s="764">
        <f ca="1">IFERROR(__xludf.DUMMYFUNCTION("IMPORTRANGE(""https://docs.google.com/spreadsheets/d/1QqKyyYR6Q21VydFLVH3TRQUabQu_ym0Zz7PgGX0-kHA/edit?usp=sharing"",""แผน!IG83"")"),0)</f>
        <v>0</v>
      </c>
      <c r="J707" s="214">
        <v>0</v>
      </c>
      <c r="K707" s="497"/>
      <c r="L707" s="497"/>
      <c r="M707" s="188"/>
      <c r="N707" s="765"/>
      <c r="O707" s="497"/>
      <c r="P707" s="497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299</v>
      </c>
      <c r="E708" s="762"/>
      <c r="F708" s="762"/>
      <c r="G708" s="188"/>
      <c r="H708" s="766" t="s">
        <v>46</v>
      </c>
      <c r="I708" s="767">
        <f ca="1">IFERROR(__xludf.DUMMYFUNCTION("IMPORTRANGE(""https://docs.google.com/spreadsheets/d/1QqKyyYR6Q21VydFLVH3TRQUabQu_ym0Zz7PgGX0-kHA/edit?usp=sharing"",""แผน!IH83"")"),0)</f>
        <v>0</v>
      </c>
      <c r="J708" s="680">
        <f>J714+J717</f>
        <v>0</v>
      </c>
      <c r="K708" s="194">
        <f ca="1">IF(I708&gt;0,J708*100/I708,0)</f>
        <v>0</v>
      </c>
      <c r="L708" s="497"/>
      <c r="M708" s="188"/>
      <c r="N708" s="765"/>
      <c r="O708" s="497"/>
      <c r="P708" s="497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300</v>
      </c>
      <c r="F709" s="762"/>
      <c r="G709" s="188"/>
      <c r="H709" s="763" t="s">
        <v>34</v>
      </c>
      <c r="I709" s="764"/>
      <c r="J709" s="214">
        <v>0</v>
      </c>
      <c r="K709" s="497"/>
      <c r="L709" s="765"/>
      <c r="M709" s="188"/>
      <c r="N709" s="765"/>
      <c r="O709" s="497"/>
      <c r="P709" s="497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8"/>
      <c r="H710" s="763" t="s">
        <v>46</v>
      </c>
      <c r="I710" s="764"/>
      <c r="J710" s="214">
        <v>0</v>
      </c>
      <c r="K710" s="497"/>
      <c r="L710" s="765"/>
      <c r="M710" s="188"/>
      <c r="N710" s="765"/>
      <c r="O710" s="497"/>
      <c r="P710" s="497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301</v>
      </c>
      <c r="F711" s="762"/>
      <c r="G711" s="188"/>
      <c r="H711" s="761"/>
      <c r="I711" s="764"/>
      <c r="J711" s="269"/>
      <c r="K711" s="497"/>
      <c r="L711" s="765"/>
      <c r="M711" s="188"/>
      <c r="N711" s="765"/>
      <c r="O711" s="497"/>
      <c r="P711" s="497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302</v>
      </c>
      <c r="G712" s="188"/>
      <c r="H712" s="763" t="s">
        <v>35</v>
      </c>
      <c r="I712" s="764"/>
      <c r="J712" s="214">
        <v>0</v>
      </c>
      <c r="K712" s="497"/>
      <c r="L712" s="765"/>
      <c r="M712" s="188"/>
      <c r="N712" s="765"/>
      <c r="O712" s="497"/>
      <c r="P712" s="497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8"/>
      <c r="H713" s="763" t="s">
        <v>34</v>
      </c>
      <c r="I713" s="764"/>
      <c r="J713" s="214">
        <v>0</v>
      </c>
      <c r="K713" s="497"/>
      <c r="L713" s="765"/>
      <c r="M713" s="188"/>
      <c r="N713" s="765"/>
      <c r="O713" s="497"/>
      <c r="P713" s="497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8"/>
      <c r="H714" s="763" t="s">
        <v>46</v>
      </c>
      <c r="I714" s="764"/>
      <c r="J714" s="214">
        <v>0</v>
      </c>
      <c r="K714" s="497"/>
      <c r="L714" s="765"/>
      <c r="M714" s="188"/>
      <c r="N714" s="765"/>
      <c r="O714" s="497"/>
      <c r="P714" s="497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303</v>
      </c>
      <c r="G715" s="188"/>
      <c r="H715" s="763" t="s">
        <v>35</v>
      </c>
      <c r="I715" s="764"/>
      <c r="J715" s="214">
        <v>0</v>
      </c>
      <c r="K715" s="497"/>
      <c r="L715" s="765"/>
      <c r="M715" s="188"/>
      <c r="N715" s="765"/>
      <c r="O715" s="497"/>
      <c r="P715" s="497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8"/>
      <c r="H716" s="763" t="s">
        <v>34</v>
      </c>
      <c r="I716" s="764"/>
      <c r="J716" s="214">
        <v>0</v>
      </c>
      <c r="K716" s="497"/>
      <c r="L716" s="765"/>
      <c r="M716" s="188"/>
      <c r="N716" s="765"/>
      <c r="O716" s="497"/>
      <c r="P716" s="497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8"/>
      <c r="H717" s="763" t="s">
        <v>46</v>
      </c>
      <c r="I717" s="764"/>
      <c r="J717" s="214">
        <v>0</v>
      </c>
      <c r="K717" s="497"/>
      <c r="L717" s="765"/>
      <c r="M717" s="188"/>
      <c r="N717" s="765"/>
      <c r="O717" s="497"/>
      <c r="P717" s="497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304</v>
      </c>
      <c r="E718" s="762"/>
      <c r="F718" s="762"/>
      <c r="G718" s="188"/>
      <c r="H718" s="763" t="s">
        <v>35</v>
      </c>
      <c r="I718" s="764"/>
      <c r="J718" s="269">
        <f ca="1">IFERROR(__xludf.DUMMYFUNCTION("IMPORTRANGE(""https://docs.google.com/spreadsheets/d/1XWAQStnk-4SwqDmLtmXYiTMKHgktTP8We1SCoS47DrQ/edit?usp=sharing"",""จัดที่ดิน!BF83"")"),0)</f>
        <v>0</v>
      </c>
      <c r="K718" s="497"/>
      <c r="L718" s="497"/>
      <c r="M718" s="188"/>
      <c r="N718" s="765"/>
      <c r="O718" s="497"/>
      <c r="P718" s="497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8"/>
      <c r="H719" s="763" t="s">
        <v>34</v>
      </c>
      <c r="I719" s="764"/>
      <c r="J719" s="269">
        <f ca="1">IFERROR(__xludf.DUMMYFUNCTION("IMPORTRANGE(""https://docs.google.com/spreadsheets/d/1XWAQStnk-4SwqDmLtmXYiTMKHgktTP8We1SCoS47DrQ/edit?usp=sharing"",""จัดที่ดิน!BG83"")"),0)</f>
        <v>0</v>
      </c>
      <c r="K719" s="497"/>
      <c r="L719" s="765"/>
      <c r="M719" s="188"/>
      <c r="N719" s="765"/>
      <c r="O719" s="497"/>
      <c r="P719" s="497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8"/>
      <c r="H720" s="763" t="s">
        <v>46</v>
      </c>
      <c r="I720" s="764">
        <f ca="1">IFERROR(__xludf.DUMMYFUNCTION("IMPORTRANGE(""https://docs.google.com/spreadsheets/d/1QqKyyYR6Q21VydFLVH3TRQUabQu_ym0Zz7PgGX0-kHA/edit?usp=sharing"",""แผน!II83"")"),0)</f>
        <v>0</v>
      </c>
      <c r="J720" s="269">
        <f ca="1">IFERROR(__xludf.DUMMYFUNCTION("IMPORTRANGE(""https://docs.google.com/spreadsheets/d/1XWAQStnk-4SwqDmLtmXYiTMKHgktTP8We1SCoS47DrQ/edit?usp=sharing"",""จัดที่ดิน!BH83"")"),0)</f>
        <v>0</v>
      </c>
      <c r="K720" s="497">
        <f ca="1">IF(I720&gt;0,J720*100/I720,0)</f>
        <v>0</v>
      </c>
      <c r="L720" s="765"/>
      <c r="M720" s="188"/>
      <c r="N720" s="765"/>
      <c r="O720" s="497"/>
      <c r="P720" s="497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305</v>
      </c>
      <c r="E721" s="762"/>
      <c r="F721" s="762"/>
      <c r="G721" s="188"/>
      <c r="H721" s="766" t="s">
        <v>35</v>
      </c>
      <c r="I721" s="767">
        <f ca="1">IFERROR(__xludf.DUMMYFUNCTION("IMPORTRANGE(""https://docs.google.com/spreadsheets/d/1QqKyyYR6Q21VydFLVH3TRQUabQu_ym0Zz7PgGX0-kHA/edit?usp=sharing"",""แผน!IJ83"")"),0)</f>
        <v>0</v>
      </c>
      <c r="J721" s="680">
        <f ca="1">J723+J726</f>
        <v>0</v>
      </c>
      <c r="K721" s="194">
        <f ca="1">IF(I721&gt;0,J721*100/I721,0)</f>
        <v>0</v>
      </c>
      <c r="L721" s="765"/>
      <c r="M721" s="188"/>
      <c r="N721" s="765"/>
      <c r="O721" s="497"/>
      <c r="P721" s="497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8"/>
      <c r="H722" s="766" t="s">
        <v>46</v>
      </c>
      <c r="I722" s="767">
        <f ca="1">IFERROR(__xludf.DUMMYFUNCTION("IMPORTRANGE(""https://docs.google.com/spreadsheets/d/1QqKyyYR6Q21VydFLVH3TRQUabQu_ym0Zz7PgGX0-kHA/edit?usp=sharing"",""แผน!IK83"")"),0)</f>
        <v>0</v>
      </c>
      <c r="J722" s="680">
        <f ca="1">J725+J728</f>
        <v>0</v>
      </c>
      <c r="K722" s="194">
        <f ca="1">IF(I722&gt;0,J722*100/I722,0)</f>
        <v>0</v>
      </c>
      <c r="L722" s="497"/>
      <c r="M722" s="188"/>
      <c r="N722" s="765"/>
      <c r="O722" s="497"/>
      <c r="P722" s="497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306</v>
      </c>
      <c r="F723" s="762"/>
      <c r="G723" s="188"/>
      <c r="H723" s="763" t="s">
        <v>35</v>
      </c>
      <c r="I723" s="764">
        <f ca="1">IFERROR(__xludf.DUMMYFUNCTION("IMPORTRANGE(""https://docs.google.com/spreadsheets/d/1QqKyyYR6Q21VydFLVH3TRQUabQu_ym0Zz7PgGX0-kHA/edit?usp=sharing"",""แผน!IL83"")"),0)</f>
        <v>0</v>
      </c>
      <c r="J723" s="269">
        <f ca="1">IFERROR(__xludf.DUMMYFUNCTION("IMPORTRANGE(""https://docs.google.com/spreadsheets/d/1XWAQStnk-4SwqDmLtmXYiTMKHgktTP8We1SCoS47DrQ/edit?usp=sharing"",""จัดที่ดิน!BM83"")"),0)</f>
        <v>0</v>
      </c>
      <c r="K723" s="497">
        <f ca="1">IF(I723&gt;0,J723*100/I723,0)</f>
        <v>0</v>
      </c>
      <c r="L723" s="497"/>
      <c r="M723" s="188"/>
      <c r="N723" s="765"/>
      <c r="O723" s="497"/>
      <c r="P723" s="497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8"/>
      <c r="H724" s="763" t="s">
        <v>34</v>
      </c>
      <c r="I724" s="764"/>
      <c r="J724" s="269">
        <f ca="1">IFERROR(__xludf.DUMMYFUNCTION("IMPORTRANGE(""https://docs.google.com/spreadsheets/d/1XWAQStnk-4SwqDmLtmXYiTMKHgktTP8We1SCoS47DrQ/edit?usp=sharing"",""จัดที่ดิน!BN83"")"),0)</f>
        <v>0</v>
      </c>
      <c r="K724" s="497"/>
      <c r="L724" s="765"/>
      <c r="M724" s="188"/>
      <c r="N724" s="765"/>
      <c r="O724" s="497"/>
      <c r="P724" s="497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8"/>
      <c r="H725" s="763" t="s">
        <v>46</v>
      </c>
      <c r="I725" s="764">
        <f ca="1">IFERROR(__xludf.DUMMYFUNCTION("IMPORTRANGE(""https://docs.google.com/spreadsheets/d/1QqKyyYR6Q21VydFLVH3TRQUabQu_ym0Zz7PgGX0-kHA/edit?usp=sharing"",""แผน!IM83"")"),0)</f>
        <v>0</v>
      </c>
      <c r="J725" s="269">
        <f ca="1">IFERROR(__xludf.DUMMYFUNCTION("IMPORTRANGE(""https://docs.google.com/spreadsheets/d/1XWAQStnk-4SwqDmLtmXYiTMKHgktTP8We1SCoS47DrQ/edit?usp=sharing"",""จัดที่ดิน!BO83"")"),0)</f>
        <v>0</v>
      </c>
      <c r="K725" s="497">
        <f ca="1">IF(I725&gt;0,J725*100/I725,0)</f>
        <v>0</v>
      </c>
      <c r="L725" s="765"/>
      <c r="M725" s="188"/>
      <c r="N725" s="765"/>
      <c r="O725" s="497"/>
      <c r="P725" s="497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307</v>
      </c>
      <c r="F726" s="762"/>
      <c r="G726" s="188"/>
      <c r="H726" s="763" t="s">
        <v>35</v>
      </c>
      <c r="I726" s="764">
        <f ca="1">IFERROR(__xludf.DUMMYFUNCTION("IMPORTRANGE(""https://docs.google.com/spreadsheets/d/1QqKyyYR6Q21VydFLVH3TRQUabQu_ym0Zz7PgGX0-kHA/edit?usp=sharing"",""แผน!IN83"")"),0)</f>
        <v>0</v>
      </c>
      <c r="J726" s="269">
        <f ca="1">IFERROR(__xludf.DUMMYFUNCTION("IMPORTRANGE(""https://docs.google.com/spreadsheets/d/1XWAQStnk-4SwqDmLtmXYiTMKHgktTP8We1SCoS47DrQ/edit?usp=sharing"",""จัดที่ดิน!BR83"")"),0)</f>
        <v>0</v>
      </c>
      <c r="K726" s="497">
        <f ca="1">IF(I726&gt;0,J726*100/I726,0)</f>
        <v>0</v>
      </c>
      <c r="L726" s="497"/>
      <c r="M726" s="188"/>
      <c r="N726" s="765"/>
      <c r="O726" s="497"/>
      <c r="P726" s="497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8"/>
      <c r="H727" s="763" t="s">
        <v>34</v>
      </c>
      <c r="I727" s="764"/>
      <c r="J727" s="269">
        <f ca="1">IFERROR(__xludf.DUMMYFUNCTION("IMPORTRANGE(""https://docs.google.com/spreadsheets/d/1XWAQStnk-4SwqDmLtmXYiTMKHgktTP8We1SCoS47DrQ/edit?usp=sharing"",""จัดที่ดิน!BS83"")"),0)</f>
        <v>0</v>
      </c>
      <c r="K727" s="497"/>
      <c r="L727" s="765"/>
      <c r="M727" s="188"/>
      <c r="N727" s="765"/>
      <c r="O727" s="497"/>
      <c r="P727" s="497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8"/>
      <c r="H728" s="763" t="s">
        <v>46</v>
      </c>
      <c r="I728" s="764">
        <f ca="1">IFERROR(__xludf.DUMMYFUNCTION("IMPORTRANGE(""https://docs.google.com/spreadsheets/d/1QqKyyYR6Q21VydFLVH3TRQUabQu_ym0Zz7PgGX0-kHA/edit?usp=sharing"",""แผน!IO83"")"),0)</f>
        <v>0</v>
      </c>
      <c r="J728" s="269">
        <f ca="1">IFERROR(__xludf.DUMMYFUNCTION("IMPORTRANGE(""https://docs.google.com/spreadsheets/d/1XWAQStnk-4SwqDmLtmXYiTMKHgktTP8We1SCoS47DrQ/edit?usp=sharing"",""จัดที่ดิน!BT83"")"),0)</f>
        <v>0</v>
      </c>
      <c r="K728" s="497">
        <f ca="1">IF(I728&gt;0,J728*100/I728,0)</f>
        <v>0</v>
      </c>
      <c r="L728" s="765"/>
      <c r="M728" s="188"/>
      <c r="N728" s="765"/>
      <c r="O728" s="497"/>
      <c r="P728" s="497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308</v>
      </c>
      <c r="E729" s="762"/>
      <c r="F729" s="762"/>
      <c r="G729" s="188"/>
      <c r="H729" s="766" t="s">
        <v>46</v>
      </c>
      <c r="I729" s="767">
        <f ca="1">IFERROR(__xludf.DUMMYFUNCTION("IMPORTRANGE(""https://docs.google.com/spreadsheets/d/1QqKyyYR6Q21VydFLVH3TRQUabQu_ym0Zz7PgGX0-kHA/edit?usp=sharing"",""แผน!IP83"")"),0)</f>
        <v>0</v>
      </c>
      <c r="J729" s="680">
        <f>J732+J735</f>
        <v>0</v>
      </c>
      <c r="K729" s="194">
        <f ca="1">IF(I729&gt;0,J729*100/I729,0)</f>
        <v>0</v>
      </c>
      <c r="L729" s="497"/>
      <c r="M729" s="188"/>
      <c r="N729" s="765"/>
      <c r="O729" s="497"/>
      <c r="P729" s="497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309</v>
      </c>
      <c r="F730" s="762"/>
      <c r="G730" s="188"/>
      <c r="H730" s="763" t="s">
        <v>35</v>
      </c>
      <c r="I730" s="764"/>
      <c r="J730" s="214">
        <v>0</v>
      </c>
      <c r="K730" s="497"/>
      <c r="L730" s="765"/>
      <c r="M730" s="497"/>
      <c r="N730" s="765"/>
      <c r="O730" s="497"/>
      <c r="P730" s="497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8"/>
      <c r="H731" s="763" t="s">
        <v>34</v>
      </c>
      <c r="I731" s="764"/>
      <c r="J731" s="214">
        <v>0</v>
      </c>
      <c r="K731" s="497"/>
      <c r="L731" s="765"/>
      <c r="M731" s="497"/>
      <c r="N731" s="765"/>
      <c r="O731" s="497"/>
      <c r="P731" s="497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8"/>
      <c r="H732" s="763" t="s">
        <v>46</v>
      </c>
      <c r="I732" s="764"/>
      <c r="J732" s="214">
        <v>0</v>
      </c>
      <c r="K732" s="497"/>
      <c r="L732" s="765"/>
      <c r="M732" s="497"/>
      <c r="N732" s="765"/>
      <c r="O732" s="497"/>
      <c r="P732" s="497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310</v>
      </c>
      <c r="F733" s="762"/>
      <c r="G733" s="188"/>
      <c r="H733" s="763" t="s">
        <v>35</v>
      </c>
      <c r="I733" s="764"/>
      <c r="J733" s="214">
        <v>0</v>
      </c>
      <c r="K733" s="497"/>
      <c r="L733" s="765"/>
      <c r="M733" s="497"/>
      <c r="N733" s="765"/>
      <c r="O733" s="497"/>
      <c r="P733" s="497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8"/>
      <c r="H734" s="763" t="s">
        <v>34</v>
      </c>
      <c r="I734" s="764"/>
      <c r="J734" s="214">
        <v>0</v>
      </c>
      <c r="K734" s="497"/>
      <c r="L734" s="765"/>
      <c r="M734" s="497"/>
      <c r="N734" s="765"/>
      <c r="O734" s="497"/>
      <c r="P734" s="497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311</v>
      </c>
      <c r="C735" s="733"/>
      <c r="D735" s="733"/>
      <c r="E735" s="733"/>
      <c r="F735" s="733"/>
      <c r="G735" s="734"/>
      <c r="H735" s="422" t="s">
        <v>46</v>
      </c>
      <c r="I735" s="771"/>
      <c r="J735" s="424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312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92" t="s">
        <v>17</v>
      </c>
      <c r="E737" s="888"/>
      <c r="F737" s="888"/>
      <c r="G737" s="602"/>
      <c r="H737" s="645" t="s">
        <v>12</v>
      </c>
      <c r="I737" s="616"/>
      <c r="J737" s="616"/>
      <c r="K737" s="92"/>
      <c r="L737" s="646">
        <f>L738+L739</f>
        <v>0</v>
      </c>
      <c r="M737" s="646">
        <f>M738+M739</f>
        <v>0</v>
      </c>
      <c r="N737" s="646">
        <f>N738+N739</f>
        <v>0</v>
      </c>
      <c r="O737" s="646">
        <f t="shared" ref="O737:O742" si="98">IF(L737&gt;0,N737*100/L737,0)</f>
        <v>0</v>
      </c>
      <c r="P737" s="646">
        <f t="shared" ref="P737:P742" si="99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184</v>
      </c>
      <c r="F738" s="758"/>
      <c r="G738" s="602"/>
      <c r="H738" s="164" t="s">
        <v>12</v>
      </c>
      <c r="I738" s="616"/>
      <c r="J738" s="616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185</v>
      </c>
      <c r="F739" s="758"/>
      <c r="G739" s="602"/>
      <c r="H739" s="164" t="s">
        <v>12</v>
      </c>
      <c r="I739" s="616"/>
      <c r="J739" s="616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5"/>
      <c r="J740" s="165"/>
      <c r="K740" s="166"/>
      <c r="L740" s="646">
        <f>L741+L742</f>
        <v>0</v>
      </c>
      <c r="M740" s="646">
        <f>M741+M742</f>
        <v>0</v>
      </c>
      <c r="N740" s="646">
        <f>N741+N742</f>
        <v>0</v>
      </c>
      <c r="O740" s="646">
        <f t="shared" si="98"/>
        <v>0</v>
      </c>
      <c r="P740" s="646">
        <f t="shared" si="99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184</v>
      </c>
      <c r="F741" s="758"/>
      <c r="G741" s="602"/>
      <c r="H741" s="164" t="s">
        <v>12</v>
      </c>
      <c r="I741" s="616"/>
      <c r="J741" s="616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185</v>
      </c>
      <c r="F742" s="758"/>
      <c r="G742" s="602"/>
      <c r="H742" s="164" t="s">
        <v>12</v>
      </c>
      <c r="I742" s="616"/>
      <c r="J742" s="616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186</v>
      </c>
      <c r="G743" s="602"/>
      <c r="H743" s="164" t="s">
        <v>12</v>
      </c>
      <c r="I743" s="616"/>
      <c r="J743" s="616"/>
      <c r="K743" s="92"/>
      <c r="L743" s="92"/>
      <c r="M743" s="92"/>
      <c r="N743" s="92"/>
      <c r="O743" s="92"/>
      <c r="P743" s="92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187</v>
      </c>
      <c r="G744" s="602"/>
      <c r="H744" s="164" t="s">
        <v>12</v>
      </c>
      <c r="I744" s="616"/>
      <c r="J744" s="616"/>
      <c r="K744" s="92"/>
      <c r="L744" s="92"/>
      <c r="M744" s="92"/>
      <c r="N744" s="92"/>
      <c r="O744" s="92"/>
      <c r="P744" s="92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188</v>
      </c>
      <c r="G745" s="602"/>
      <c r="H745" s="164" t="s">
        <v>12</v>
      </c>
      <c r="I745" s="616"/>
      <c r="J745" s="616"/>
      <c r="K745" s="92"/>
      <c r="L745" s="92"/>
      <c r="M745" s="92"/>
      <c r="N745" s="92"/>
      <c r="O745" s="92"/>
      <c r="P745" s="92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189</v>
      </c>
      <c r="G746" s="602"/>
      <c r="H746" s="164" t="s">
        <v>12</v>
      </c>
      <c r="I746" s="616"/>
      <c r="J746" s="616"/>
      <c r="K746" s="92"/>
      <c r="L746" s="92"/>
      <c r="M746" s="92"/>
      <c r="N746" s="92"/>
      <c r="O746" s="92"/>
      <c r="P746" s="92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5"/>
      <c r="J747" s="165"/>
      <c r="K747" s="166"/>
      <c r="L747" s="646">
        <f>L748+L749</f>
        <v>0</v>
      </c>
      <c r="M747" s="646">
        <f>M748+M749</f>
        <v>0</v>
      </c>
      <c r="N747" s="646">
        <f>N748+N749</f>
        <v>0</v>
      </c>
      <c r="O747" s="646">
        <f>IF(L747&gt;0,N747*100/L747,0)</f>
        <v>0</v>
      </c>
      <c r="P747" s="646">
        <f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39" t="s">
        <v>38</v>
      </c>
      <c r="E750" s="650"/>
      <c r="F750" s="650"/>
      <c r="G750" s="651"/>
      <c r="H750" s="365"/>
      <c r="I750" s="165"/>
      <c r="J750" s="165"/>
      <c r="K750" s="166"/>
      <c r="L750" s="166"/>
      <c r="M750" s="166"/>
      <c r="N750" s="166"/>
      <c r="O750" s="166"/>
      <c r="P750" s="166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313</v>
      </c>
      <c r="F751" s="758"/>
      <c r="G751" s="602"/>
      <c r="H751" s="164" t="s">
        <v>46</v>
      </c>
      <c r="I751" s="616"/>
      <c r="J751" s="616"/>
      <c r="K751" s="92"/>
      <c r="L751" s="92"/>
      <c r="M751" s="92"/>
      <c r="N751" s="92"/>
      <c r="O751" s="92"/>
      <c r="P751" s="92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4" t="s">
        <v>314</v>
      </c>
      <c r="I752" s="616"/>
      <c r="J752" s="616"/>
      <c r="K752" s="92"/>
      <c r="L752" s="92"/>
      <c r="M752" s="92"/>
      <c r="N752" s="92"/>
      <c r="O752" s="92"/>
      <c r="P752" s="92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315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92" t="s">
        <v>17</v>
      </c>
      <c r="E754" s="888"/>
      <c r="F754" s="888"/>
      <c r="G754" s="602"/>
      <c r="H754" s="645" t="s">
        <v>12</v>
      </c>
      <c r="I754" s="616"/>
      <c r="J754" s="616"/>
      <c r="K754" s="92"/>
      <c r="L754" s="646">
        <f>L755+L756</f>
        <v>0</v>
      </c>
      <c r="M754" s="646">
        <f>M755+M756</f>
        <v>0</v>
      </c>
      <c r="N754" s="646">
        <f>N755+N756</f>
        <v>0</v>
      </c>
      <c r="O754" s="646">
        <f t="shared" ref="O754:O759" si="101">IF(L754&gt;0,N754*100/L754,0)</f>
        <v>0</v>
      </c>
      <c r="P754" s="646">
        <f t="shared" ref="P754:P759" si="102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184</v>
      </c>
      <c r="F755" s="758"/>
      <c r="G755" s="602"/>
      <c r="H755" s="164" t="s">
        <v>12</v>
      </c>
      <c r="I755" s="616"/>
      <c r="J755" s="616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185</v>
      </c>
      <c r="F756" s="758"/>
      <c r="G756" s="602"/>
      <c r="H756" s="164" t="s">
        <v>12</v>
      </c>
      <c r="I756" s="616"/>
      <c r="J756" s="616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5"/>
      <c r="J757" s="165"/>
      <c r="K757" s="166"/>
      <c r="L757" s="646">
        <f>L758+L759</f>
        <v>0</v>
      </c>
      <c r="M757" s="646">
        <f>M758+M759</f>
        <v>0</v>
      </c>
      <c r="N757" s="646">
        <f>N758+N759</f>
        <v>0</v>
      </c>
      <c r="O757" s="646">
        <f t="shared" si="101"/>
        <v>0</v>
      </c>
      <c r="P757" s="646">
        <f t="shared" si="102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184</v>
      </c>
      <c r="F758" s="758"/>
      <c r="G758" s="602"/>
      <c r="H758" s="164" t="s">
        <v>12</v>
      </c>
      <c r="I758" s="616"/>
      <c r="J758" s="616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185</v>
      </c>
      <c r="F759" s="758"/>
      <c r="G759" s="602"/>
      <c r="H759" s="164" t="s">
        <v>12</v>
      </c>
      <c r="I759" s="616"/>
      <c r="J759" s="616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186</v>
      </c>
      <c r="G760" s="602"/>
      <c r="H760" s="164" t="s">
        <v>12</v>
      </c>
      <c r="I760" s="616"/>
      <c r="J760" s="616"/>
      <c r="K760" s="92"/>
      <c r="L760" s="92"/>
      <c r="M760" s="92"/>
      <c r="N760" s="92"/>
      <c r="O760" s="92"/>
      <c r="P760" s="92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187</v>
      </c>
      <c r="G761" s="602"/>
      <c r="H761" s="164" t="s">
        <v>12</v>
      </c>
      <c r="I761" s="616"/>
      <c r="J761" s="616"/>
      <c r="K761" s="92"/>
      <c r="L761" s="92"/>
      <c r="M761" s="92"/>
      <c r="N761" s="92"/>
      <c r="O761" s="92"/>
      <c r="P761" s="92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188</v>
      </c>
      <c r="G762" s="602"/>
      <c r="H762" s="164" t="s">
        <v>12</v>
      </c>
      <c r="I762" s="616"/>
      <c r="J762" s="616"/>
      <c r="K762" s="92"/>
      <c r="L762" s="92"/>
      <c r="M762" s="92"/>
      <c r="N762" s="92"/>
      <c r="O762" s="92"/>
      <c r="P762" s="92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189</v>
      </c>
      <c r="G763" s="602"/>
      <c r="H763" s="164" t="s">
        <v>12</v>
      </c>
      <c r="I763" s="616"/>
      <c r="J763" s="616"/>
      <c r="K763" s="92"/>
      <c r="L763" s="92"/>
      <c r="M763" s="92"/>
      <c r="N763" s="92"/>
      <c r="O763" s="92"/>
      <c r="P763" s="92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5"/>
      <c r="J764" s="165"/>
      <c r="K764" s="166"/>
      <c r="L764" s="646">
        <f>L765+L766</f>
        <v>0</v>
      </c>
      <c r="M764" s="646">
        <f>M765+M766</f>
        <v>0</v>
      </c>
      <c r="N764" s="646">
        <f>N765+N766</f>
        <v>0</v>
      </c>
      <c r="O764" s="646">
        <f>IF(L764&gt;0,N764*100/L764,0)</f>
        <v>0</v>
      </c>
      <c r="P764" s="646">
        <f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39" t="s">
        <v>38</v>
      </c>
      <c r="E767" s="650"/>
      <c r="F767" s="650"/>
      <c r="G767" s="651"/>
      <c r="H767" s="365"/>
      <c r="I767" s="165"/>
      <c r="J767" s="165"/>
      <c r="K767" s="166"/>
      <c r="L767" s="166"/>
      <c r="M767" s="166"/>
      <c r="N767" s="166"/>
      <c r="O767" s="166"/>
      <c r="P767" s="166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316</v>
      </c>
      <c r="F768" s="758"/>
      <c r="G768" s="602"/>
      <c r="H768" s="164" t="s">
        <v>46</v>
      </c>
      <c r="I768" s="616"/>
      <c r="J768" s="616"/>
      <c r="K768" s="92"/>
      <c r="L768" s="92"/>
      <c r="M768" s="92"/>
      <c r="N768" s="92"/>
      <c r="O768" s="92"/>
      <c r="P768" s="92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317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92" t="s">
        <v>17</v>
      </c>
      <c r="E770" s="888"/>
      <c r="F770" s="888"/>
      <c r="G770" s="602"/>
      <c r="H770" s="645" t="s">
        <v>12</v>
      </c>
      <c r="I770" s="616"/>
      <c r="J770" s="616"/>
      <c r="K770" s="92"/>
      <c r="L770" s="646">
        <f>L771+L772</f>
        <v>0</v>
      </c>
      <c r="M770" s="646">
        <f>M771+M772</f>
        <v>0</v>
      </c>
      <c r="N770" s="646">
        <f>N771+N772</f>
        <v>0</v>
      </c>
      <c r="O770" s="646">
        <f t="shared" ref="O770:O775" si="104">IF(L770&gt;0,N770*100/L770,0)</f>
        <v>0</v>
      </c>
      <c r="P770" s="646">
        <f t="shared" ref="P770:P775" si="105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184</v>
      </c>
      <c r="F771" s="758"/>
      <c r="G771" s="602"/>
      <c r="H771" s="164" t="s">
        <v>12</v>
      </c>
      <c r="I771" s="616"/>
      <c r="J771" s="616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185</v>
      </c>
      <c r="F772" s="758"/>
      <c r="G772" s="602"/>
      <c r="H772" s="164" t="s">
        <v>12</v>
      </c>
      <c r="I772" s="616"/>
      <c r="J772" s="616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5"/>
      <c r="J773" s="165"/>
      <c r="K773" s="166"/>
      <c r="L773" s="646">
        <f>L774+L775</f>
        <v>0</v>
      </c>
      <c r="M773" s="646">
        <f>M774+M775</f>
        <v>0</v>
      </c>
      <c r="N773" s="646">
        <f>N774+N775</f>
        <v>0</v>
      </c>
      <c r="O773" s="646">
        <f t="shared" si="104"/>
        <v>0</v>
      </c>
      <c r="P773" s="646">
        <f t="shared" si="105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184</v>
      </c>
      <c r="F774" s="758"/>
      <c r="G774" s="602"/>
      <c r="H774" s="164" t="s">
        <v>12</v>
      </c>
      <c r="I774" s="616"/>
      <c r="J774" s="616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185</v>
      </c>
      <c r="F775" s="758"/>
      <c r="G775" s="602"/>
      <c r="H775" s="164" t="s">
        <v>12</v>
      </c>
      <c r="I775" s="616"/>
      <c r="J775" s="616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186</v>
      </c>
      <c r="G776" s="602"/>
      <c r="H776" s="164" t="s">
        <v>12</v>
      </c>
      <c r="I776" s="616"/>
      <c r="J776" s="616"/>
      <c r="K776" s="92"/>
      <c r="L776" s="92"/>
      <c r="M776" s="92"/>
      <c r="N776" s="92"/>
      <c r="O776" s="92"/>
      <c r="P776" s="92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187</v>
      </c>
      <c r="G777" s="602"/>
      <c r="H777" s="164" t="s">
        <v>12</v>
      </c>
      <c r="I777" s="616"/>
      <c r="J777" s="616"/>
      <c r="K777" s="92"/>
      <c r="L777" s="92"/>
      <c r="M777" s="92"/>
      <c r="N777" s="92"/>
      <c r="O777" s="92"/>
      <c r="P777" s="92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188</v>
      </c>
      <c r="G778" s="602"/>
      <c r="H778" s="164" t="s">
        <v>12</v>
      </c>
      <c r="I778" s="616"/>
      <c r="J778" s="616"/>
      <c r="K778" s="92"/>
      <c r="L778" s="92"/>
      <c r="M778" s="92"/>
      <c r="N778" s="92"/>
      <c r="O778" s="92"/>
      <c r="P778" s="92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189</v>
      </c>
      <c r="G779" s="602"/>
      <c r="H779" s="164" t="s">
        <v>12</v>
      </c>
      <c r="I779" s="616"/>
      <c r="J779" s="616"/>
      <c r="K779" s="92"/>
      <c r="L779" s="92"/>
      <c r="M779" s="92"/>
      <c r="N779" s="92"/>
      <c r="O779" s="92"/>
      <c r="P779" s="92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5"/>
      <c r="J780" s="165"/>
      <c r="K780" s="166"/>
      <c r="L780" s="646">
        <f>L781+L782</f>
        <v>0</v>
      </c>
      <c r="M780" s="646">
        <f>M781+M782</f>
        <v>0</v>
      </c>
      <c r="N780" s="646">
        <f>N781+N782</f>
        <v>0</v>
      </c>
      <c r="O780" s="646">
        <f>IF(L780&gt;0,N780*100/L780,0)</f>
        <v>0</v>
      </c>
      <c r="P780" s="646">
        <f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39" t="s">
        <v>38</v>
      </c>
      <c r="E783" s="650"/>
      <c r="F783" s="650"/>
      <c r="G783" s="651"/>
      <c r="H783" s="800"/>
      <c r="I783" s="165"/>
      <c r="J783" s="165"/>
      <c r="K783" s="166"/>
      <c r="L783" s="166"/>
      <c r="M783" s="166"/>
      <c r="N783" s="166"/>
      <c r="O783" s="166"/>
      <c r="P783" s="166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318</v>
      </c>
      <c r="F784" s="758"/>
      <c r="G784" s="602"/>
      <c r="H784" s="164" t="s">
        <v>46</v>
      </c>
      <c r="I784" s="616"/>
      <c r="J784" s="616"/>
      <c r="K784" s="92"/>
      <c r="L784" s="92"/>
      <c r="M784" s="92"/>
      <c r="N784" s="92"/>
      <c r="O784" s="92"/>
      <c r="P784" s="92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319</v>
      </c>
      <c r="C785" s="803"/>
      <c r="D785" s="803"/>
      <c r="E785" s="803"/>
      <c r="F785" s="803"/>
      <c r="G785" s="804"/>
      <c r="H785" s="805" t="s">
        <v>46</v>
      </c>
      <c r="I785" s="806">
        <f ca="1">I800</f>
        <v>0</v>
      </c>
      <c r="J785" s="807">
        <f ca="1">J800</f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87" t="s">
        <v>17</v>
      </c>
      <c r="E786" s="888"/>
      <c r="F786" s="888"/>
      <c r="G786" s="188"/>
      <c r="H786" s="597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184</v>
      </c>
      <c r="F787" s="758"/>
      <c r="G787" s="602"/>
      <c r="H787" s="164" t="s">
        <v>12</v>
      </c>
      <c r="I787" s="616"/>
      <c r="J787" s="616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185</v>
      </c>
      <c r="F788" s="758"/>
      <c r="G788" s="602"/>
      <c r="H788" s="164" t="s">
        <v>12</v>
      </c>
      <c r="I788" s="616"/>
      <c r="J788" s="616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184</v>
      </c>
      <c r="F790" s="758"/>
      <c r="G790" s="602"/>
      <c r="H790" s="164" t="s">
        <v>12</v>
      </c>
      <c r="I790" s="616"/>
      <c r="J790" s="616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185</v>
      </c>
      <c r="F791" s="758"/>
      <c r="G791" s="602"/>
      <c r="H791" s="164" t="s">
        <v>12</v>
      </c>
      <c r="I791" s="616"/>
      <c r="J791" s="616"/>
      <c r="K791" s="92"/>
      <c r="L791" s="92">
        <f ca="1">IFERROR(__xludf.DUMMYFUNCTION("IMPORTRANGE(""https://docs.google.com/spreadsheets/d/1QqKyyYR6Q21VydFLVH3TRQUabQu_ym0Zz7PgGX0-kHA/edit?usp=sharing"",""แผน!JJ83"")"),0)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826">
        <v>0</v>
      </c>
      <c r="O792" s="497"/>
      <c r="P792" s="497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826">
        <v>0</v>
      </c>
      <c r="O793" s="497"/>
      <c r="P793" s="497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826">
        <v>0</v>
      </c>
      <c r="O794" s="497"/>
      <c r="P794" s="497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826">
        <v>0</v>
      </c>
      <c r="O795" s="497"/>
      <c r="P795" s="497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38" t="s">
        <v>38</v>
      </c>
      <c r="E799" s="760"/>
      <c r="F799" s="760"/>
      <c r="G799" s="612"/>
      <c r="H799" s="810"/>
      <c r="I799" s="183"/>
      <c r="J799" s="183"/>
      <c r="K799" s="162"/>
      <c r="L799" s="162"/>
      <c r="M799" s="162"/>
      <c r="N799" s="162"/>
      <c r="O799" s="162"/>
      <c r="P799" s="162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320</v>
      </c>
      <c r="G800" s="761"/>
      <c r="H800" s="184" t="s">
        <v>46</v>
      </c>
      <c r="I800" s="183">
        <f ca="1">IFERROR(__xludf.DUMMYFUNCTION("IMPORTRANGE(""https://docs.google.com/spreadsheets/d/1QqKyyYR6Q21VydFLVH3TRQUabQu_ym0Zz7PgGX0-kHA/edit?usp=sharing"",""แผน!JN83"")"),0)</f>
        <v>0</v>
      </c>
      <c r="J800" s="183">
        <f ca="1">IFERROR(__xludf.DUMMYFUNCTION("IMPORTRANGE(""https://docs.google.com/spreadsheets/d/1MaWodYyGHDf7siQLGxnXhG4mBNTNIuy296niS2xXulU/edit?usp=sharing"",""RTK!H83"")"),0)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IFERROR(__xludf.DUMMYFUNCTION("IMPORTRANGE(""https://docs.google.com/spreadsheets/d/1MaWodYyGHDf7siQLGxnXhG4mBNTNIuy296niS2xXulU/edit?usp=sharing"",""RTK!I83"")"),0)</f>
        <v>0</v>
      </c>
      <c r="K801" s="497"/>
      <c r="L801" s="497"/>
      <c r="M801" s="497"/>
      <c r="N801" s="497"/>
      <c r="O801" s="162"/>
      <c r="P801" s="162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321</v>
      </c>
      <c r="G802" s="365"/>
      <c r="H802" s="652" t="s">
        <v>46</v>
      </c>
      <c r="I802" s="165"/>
      <c r="J802" s="616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5"/>
      <c r="H803" s="652" t="s">
        <v>34</v>
      </c>
      <c r="I803" s="165"/>
      <c r="J803" s="616">
        <v>0</v>
      </c>
      <c r="K803" s="166"/>
      <c r="L803" s="166"/>
      <c r="M803" s="166"/>
      <c r="N803" s="166"/>
      <c r="O803" s="166"/>
      <c r="P803" s="166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322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92" t="s">
        <v>17</v>
      </c>
      <c r="E805" s="888"/>
      <c r="F805" s="888"/>
      <c r="G805" s="602"/>
      <c r="H805" s="645" t="s">
        <v>12</v>
      </c>
      <c r="I805" s="616"/>
      <c r="J805" s="616"/>
      <c r="K805" s="92"/>
      <c r="L805" s="646">
        <f>L806+L807</f>
        <v>0</v>
      </c>
      <c r="M805" s="646">
        <f>M806+M807</f>
        <v>0</v>
      </c>
      <c r="N805" s="646">
        <f>N806+N807</f>
        <v>0</v>
      </c>
      <c r="O805" s="646">
        <f t="shared" ref="O805:O810" si="110">IF(L805&gt;0,N805*100/L805,0)</f>
        <v>0</v>
      </c>
      <c r="P805" s="646">
        <f t="shared" ref="P805:P810" si="111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184</v>
      </c>
      <c r="F806" s="758"/>
      <c r="G806" s="602"/>
      <c r="H806" s="164" t="s">
        <v>12</v>
      </c>
      <c r="I806" s="616"/>
      <c r="J806" s="616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185</v>
      </c>
      <c r="F807" s="758"/>
      <c r="G807" s="602"/>
      <c r="H807" s="164" t="s">
        <v>12</v>
      </c>
      <c r="I807" s="616"/>
      <c r="J807" s="616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912" t="s">
        <v>20</v>
      </c>
      <c r="E808" s="888"/>
      <c r="F808" s="888"/>
      <c r="G808" s="602"/>
      <c r="H808" s="645" t="s">
        <v>12</v>
      </c>
      <c r="I808" s="165"/>
      <c r="J808" s="165"/>
      <c r="K808" s="166"/>
      <c r="L808" s="646">
        <f>L809+L810</f>
        <v>0</v>
      </c>
      <c r="M808" s="646">
        <f>M809+M810</f>
        <v>0</v>
      </c>
      <c r="N808" s="646">
        <f>N809+N810</f>
        <v>0</v>
      </c>
      <c r="O808" s="646">
        <f t="shared" si="110"/>
        <v>0</v>
      </c>
      <c r="P808" s="646">
        <f t="shared" si="111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184</v>
      </c>
      <c r="F809" s="758"/>
      <c r="G809" s="602"/>
      <c r="H809" s="164" t="s">
        <v>12</v>
      </c>
      <c r="I809" s="616"/>
      <c r="J809" s="616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185</v>
      </c>
      <c r="F810" s="758"/>
      <c r="G810" s="602"/>
      <c r="H810" s="164" t="s">
        <v>12</v>
      </c>
      <c r="I810" s="616"/>
      <c r="J810" s="616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186</v>
      </c>
      <c r="G811" s="602"/>
      <c r="H811" s="164" t="s">
        <v>12</v>
      </c>
      <c r="I811" s="616"/>
      <c r="J811" s="616"/>
      <c r="K811" s="92"/>
      <c r="L811" s="92"/>
      <c r="M811" s="92"/>
      <c r="N811" s="92"/>
      <c r="O811" s="92"/>
      <c r="P811" s="92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187</v>
      </c>
      <c r="G812" s="602"/>
      <c r="H812" s="164" t="s">
        <v>12</v>
      </c>
      <c r="I812" s="616"/>
      <c r="J812" s="616"/>
      <c r="K812" s="92"/>
      <c r="L812" s="92"/>
      <c r="M812" s="92"/>
      <c r="N812" s="92"/>
      <c r="O812" s="92"/>
      <c r="P812" s="92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188</v>
      </c>
      <c r="G813" s="602"/>
      <c r="H813" s="164" t="s">
        <v>12</v>
      </c>
      <c r="I813" s="616"/>
      <c r="J813" s="616"/>
      <c r="K813" s="92"/>
      <c r="L813" s="92"/>
      <c r="M813" s="92"/>
      <c r="N813" s="92"/>
      <c r="O813" s="92"/>
      <c r="P813" s="92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189</v>
      </c>
      <c r="G814" s="602"/>
      <c r="H814" s="164" t="s">
        <v>12</v>
      </c>
      <c r="I814" s="616"/>
      <c r="J814" s="616"/>
      <c r="K814" s="92"/>
      <c r="L814" s="92"/>
      <c r="M814" s="92"/>
      <c r="N814" s="92"/>
      <c r="O814" s="92"/>
      <c r="P814" s="92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912" t="s">
        <v>21</v>
      </c>
      <c r="E815" s="888"/>
      <c r="F815" s="888"/>
      <c r="G815" s="602"/>
      <c r="H815" s="782" t="s">
        <v>12</v>
      </c>
      <c r="I815" s="165"/>
      <c r="J815" s="165"/>
      <c r="K815" s="166"/>
      <c r="L815" s="646">
        <f>L816+L817</f>
        <v>0</v>
      </c>
      <c r="M815" s="646">
        <f>M816+M817</f>
        <v>0</v>
      </c>
      <c r="N815" s="646">
        <f>N816+N817</f>
        <v>0</v>
      </c>
      <c r="O815" s="646">
        <f>IF(L815&gt;0,N815*100/L815,0)</f>
        <v>0</v>
      </c>
      <c r="P815" s="646">
        <f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37" t="s">
        <v>38</v>
      </c>
      <c r="E818" s="650"/>
      <c r="F818" s="650"/>
      <c r="G818" s="651"/>
      <c r="H818" s="365"/>
      <c r="I818" s="165"/>
      <c r="J818" s="165"/>
      <c r="K818" s="166"/>
      <c r="L818" s="166"/>
      <c r="M818" s="166"/>
      <c r="N818" s="166"/>
      <c r="O818" s="166"/>
      <c r="P818" s="166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323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36" t="s">
        <v>340</v>
      </c>
      <c r="B820" s="834"/>
      <c r="C820" s="834"/>
      <c r="D820" s="835"/>
      <c r="E820" s="834"/>
      <c r="F820" s="834"/>
      <c r="G820" s="833"/>
      <c r="H820" s="832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1"/>
      <c r="J820" s="831"/>
      <c r="K820" s="830"/>
      <c r="L820" s="830"/>
      <c r="M820" s="830"/>
      <c r="N820" s="830"/>
      <c r="O820" s="830"/>
      <c r="P820" s="83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325</v>
      </c>
      <c r="C821" s="762"/>
      <c r="D821" s="574"/>
      <c r="E821" s="762"/>
      <c r="F821" s="762"/>
      <c r="G821" s="188"/>
      <c r="H821" s="622" t="s">
        <v>12</v>
      </c>
      <c r="I821" s="269">
        <f ca="1">IFERROR(__xludf.DUMMYFUNCTION("IMPORTRANGE(""https://docs.google.com/spreadsheets/d/19vJNZY_5yjcGF2XGBMNZRCAIB0Kwfpjp8YEOfu-bneM/edit?usp=sharing"",""งานกองทุน!D83"")"),666747.07)</f>
        <v>666747.06999999995</v>
      </c>
      <c r="J821" s="269">
        <f ca="1">IFERROR(__xludf.DUMMYFUNCTION("IMPORTRANGE(""https://docs.google.com/spreadsheets/d/19vJNZY_5yjcGF2XGBMNZRCAIB0Kwfpjp8YEOfu-bneM/edit?usp=sharing"",""งานกองทุน!F83"")"),670503.24)</f>
        <v>670503.24</v>
      </c>
      <c r="K821" s="497">
        <f t="shared" ref="K821:K828" ca="1" si="113">IF(I821&gt;0,J821*100/I821,0)</f>
        <v>100.56335755626193</v>
      </c>
      <c r="L821" s="497"/>
      <c r="M821" s="497"/>
      <c r="N821" s="497"/>
      <c r="O821" s="497"/>
      <c r="P821" s="497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8"/>
      <c r="H822" s="622" t="s">
        <v>35</v>
      </c>
      <c r="I822" s="269">
        <f ca="1">IFERROR(__xludf.DUMMYFUNCTION("IMPORTRANGE(""https://docs.google.com/spreadsheets/d/19vJNZY_5yjcGF2XGBMNZRCAIB0Kwfpjp8YEOfu-bneM/edit?usp=sharing"",""งานกองทุน!C83"")"),35)</f>
        <v>35</v>
      </c>
      <c r="J822" s="269">
        <f ca="1">IFERROR(__xludf.DUMMYFUNCTION("IMPORTRANGE(""https://docs.google.com/spreadsheets/d/19vJNZY_5yjcGF2XGBMNZRCAIB0Kwfpjp8YEOfu-bneM/edit?usp=sharing"",""งานกองทุน!E83"")"),36)</f>
        <v>36</v>
      </c>
      <c r="K822" s="497">
        <f t="shared" ca="1" si="113"/>
        <v>102.85714285714286</v>
      </c>
      <c r="L822" s="497"/>
      <c r="M822" s="497"/>
      <c r="N822" s="497"/>
      <c r="O822" s="497"/>
      <c r="P822" s="497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326</v>
      </c>
      <c r="C823" s="762"/>
      <c r="D823" s="574"/>
      <c r="E823" s="762"/>
      <c r="F823" s="762"/>
      <c r="G823" s="188"/>
      <c r="H823" s="622" t="s">
        <v>12</v>
      </c>
      <c r="I823" s="269">
        <f ca="1">IFERROR(__xludf.DUMMYFUNCTION("IMPORTRANGE(""https://docs.google.com/spreadsheets/d/19vJNZY_5yjcGF2XGBMNZRCAIB0Kwfpjp8YEOfu-bneM/edit?usp=sharing"",""งานกองทุน!I83"")"),0)</f>
        <v>0</v>
      </c>
      <c r="J823" s="269">
        <f ca="1">IFERROR(__xludf.DUMMYFUNCTION("IMPORTRANGE(""https://docs.google.com/spreadsheets/d/19vJNZY_5yjcGF2XGBMNZRCAIB0Kwfpjp8YEOfu-bneM/edit?usp=sharing"",""งานกองทุน!K83"")"),0)</f>
        <v>0</v>
      </c>
      <c r="K823" s="497">
        <f t="shared" ca="1" si="113"/>
        <v>0</v>
      </c>
      <c r="L823" s="497"/>
      <c r="M823" s="497"/>
      <c r="N823" s="497"/>
      <c r="O823" s="497"/>
      <c r="P823" s="497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8"/>
      <c r="H824" s="622" t="s">
        <v>35</v>
      </c>
      <c r="I824" s="269">
        <f ca="1">IFERROR(__xludf.DUMMYFUNCTION("IMPORTRANGE(""https://docs.google.com/spreadsheets/d/19vJNZY_5yjcGF2XGBMNZRCAIB0Kwfpjp8YEOfu-bneM/edit?usp=sharing"",""งานกองทุน!H83"")"),0)</f>
        <v>0</v>
      </c>
      <c r="J824" s="269">
        <f ca="1">IFERROR(__xludf.DUMMYFUNCTION("IMPORTRANGE(""https://docs.google.com/spreadsheets/d/19vJNZY_5yjcGF2XGBMNZRCAIB0Kwfpjp8YEOfu-bneM/edit?usp=sharing"",""งานกองทุน!J83"")"),0)</f>
        <v>0</v>
      </c>
      <c r="K824" s="497">
        <f t="shared" ca="1" si="113"/>
        <v>0</v>
      </c>
      <c r="L824" s="497"/>
      <c r="M824" s="497"/>
      <c r="N824" s="497"/>
      <c r="O824" s="497"/>
      <c r="P824" s="497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327</v>
      </c>
      <c r="C825" s="762"/>
      <c r="D825" s="574"/>
      <c r="E825" s="762"/>
      <c r="F825" s="762"/>
      <c r="G825" s="188"/>
      <c r="H825" s="622" t="s">
        <v>12</v>
      </c>
      <c r="I825" s="269">
        <f ca="1">IFERROR(__xludf.DUMMYFUNCTION("IMPORTRANGE(""https://docs.google.com/spreadsheets/d/19vJNZY_5yjcGF2XGBMNZRCAIB0Kwfpjp8YEOfu-bneM/edit?usp=sharing"",""งานกองทุน!N83"")"),0)</f>
        <v>0</v>
      </c>
      <c r="J825" s="269">
        <f ca="1">IFERROR(__xludf.DUMMYFUNCTION("IMPORTRANGE(""https://docs.google.com/spreadsheets/d/19vJNZY_5yjcGF2XGBMNZRCAIB0Kwfpjp8YEOfu-bneM/edit?usp=sharing"",""งานกองทุน!P83"")"),0)</f>
        <v>0</v>
      </c>
      <c r="K825" s="497">
        <f t="shared" ca="1" si="113"/>
        <v>0</v>
      </c>
      <c r="L825" s="497"/>
      <c r="M825" s="497"/>
      <c r="N825" s="497"/>
      <c r="O825" s="497"/>
      <c r="P825" s="497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8"/>
      <c r="H826" s="622" t="s">
        <v>35</v>
      </c>
      <c r="I826" s="269">
        <f ca="1">IFERROR(__xludf.DUMMYFUNCTION("IMPORTRANGE(""https://docs.google.com/spreadsheets/d/19vJNZY_5yjcGF2XGBMNZRCAIB0Kwfpjp8YEOfu-bneM/edit?usp=sharing"",""งานกองทุน!M83"")"),0)</f>
        <v>0</v>
      </c>
      <c r="J826" s="269">
        <f ca="1">IFERROR(__xludf.DUMMYFUNCTION("IMPORTRANGE(""https://docs.google.com/spreadsheets/d/19vJNZY_5yjcGF2XGBMNZRCAIB0Kwfpjp8YEOfu-bneM/edit?usp=sharing"",""งานกองทุน!O83"")"),0)</f>
        <v>0</v>
      </c>
      <c r="K826" s="497">
        <f t="shared" ca="1" si="113"/>
        <v>0</v>
      </c>
      <c r="L826" s="497"/>
      <c r="M826" s="497"/>
      <c r="N826" s="497"/>
      <c r="O826" s="497"/>
      <c r="P826" s="497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328</v>
      </c>
      <c r="C827" s="762"/>
      <c r="D827" s="574"/>
      <c r="E827" s="762"/>
      <c r="F827" s="762"/>
      <c r="G827" s="188"/>
      <c r="H827" s="622" t="s">
        <v>12</v>
      </c>
      <c r="I827" s="269">
        <f ca="1">IFERROR(__xludf.DUMMYFUNCTION("IMPORTRANGE(""https://docs.google.com/spreadsheets/d/19vJNZY_5yjcGF2XGBMNZRCAIB0Kwfpjp8YEOfu-bneM/edit?usp=sharing"",""งานกองทุน!S83"")"),200000)</f>
        <v>200000</v>
      </c>
      <c r="J827" s="269">
        <f ca="1">IFERROR(__xludf.DUMMYFUNCTION("IMPORTRANGE(""https://docs.google.com/spreadsheets/d/19vJNZY_5yjcGF2XGBMNZRCAIB0Kwfpjp8YEOfu-bneM/edit?usp=sharing"",""งานกองทุน!U83"")"),350000)</f>
        <v>350000</v>
      </c>
      <c r="K827" s="497">
        <f t="shared" ca="1" si="113"/>
        <v>175</v>
      </c>
      <c r="L827" s="497"/>
      <c r="M827" s="497"/>
      <c r="N827" s="497"/>
      <c r="O827" s="497"/>
      <c r="P827" s="497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827"/>
      <c r="B828" s="748"/>
      <c r="C828" s="748"/>
      <c r="D828" s="747"/>
      <c r="E828" s="748"/>
      <c r="F828" s="748"/>
      <c r="G828" s="828"/>
      <c r="H828" s="829" t="s">
        <v>35</v>
      </c>
      <c r="I828" s="505">
        <f ca="1">IFERROR(__xludf.DUMMYFUNCTION("IMPORTRANGE(""https://docs.google.com/spreadsheets/d/19vJNZY_5yjcGF2XGBMNZRCAIB0Kwfpjp8YEOfu-bneM/edit?usp=sharing"",""งานกองทุน!R83"")"),8)</f>
        <v>8</v>
      </c>
      <c r="J828" s="505">
        <f ca="1">IFERROR(__xludf.DUMMYFUNCTION("IMPORTRANGE(""https://docs.google.com/spreadsheets/d/19vJNZY_5yjcGF2XGBMNZRCAIB0Kwfpjp8YEOfu-bneM/edit?usp=sharing"",""งานกองทุน!T83"")"),7)</f>
        <v>7</v>
      </c>
      <c r="K828" s="506">
        <f t="shared" ca="1" si="113"/>
        <v>87.5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 gridLines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8617-C999-4118-9611-2D29605E83C1}">
  <sheetPr>
    <outlinePr summaryBelow="0" summaryRight="0"/>
    <pageSetUpPr fitToPage="1"/>
  </sheetPr>
  <dimension ref="A1:Z828"/>
  <sheetViews>
    <sheetView view="pageBreakPreview" zoomScale="50" zoomScaleNormal="10" zoomScaleSheetLayoutView="50" workbookViewId="0">
      <pane ySplit="6" topLeftCell="A7" activePane="bottomLeft" state="frozen"/>
      <selection activeCell="X18" sqref="X18:X21"/>
      <selection pane="bottomLeft" activeCell="X18" sqref="X18:X2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7109375" bestFit="1" customWidth="1"/>
    <col min="11" max="11" width="13" bestFit="1" customWidth="1"/>
    <col min="12" max="14" width="22.140625" bestFit="1" customWidth="1"/>
    <col min="15" max="15" width="20.140625" bestFit="1" customWidth="1"/>
    <col min="16" max="16" width="22" bestFit="1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349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354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4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2869635</v>
      </c>
      <c r="M8" s="21">
        <f ca="1">M9+M10</f>
        <v>2982603.5700000003</v>
      </c>
      <c r="N8" s="21">
        <f ca="1">N9+N10</f>
        <v>2982603.5700000003</v>
      </c>
      <c r="O8" s="21">
        <f t="shared" ref="O8:O16" ca="1" si="0">IF(L8&gt;0,N8*100/L8,0)</f>
        <v>103.93668776691112</v>
      </c>
      <c r="P8" s="21">
        <f t="shared" ref="P8:P16" ca="1" si="1">IF(M8&gt;0,N8*100/M8,0)</f>
        <v>99.999999999999986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2869635</v>
      </c>
      <c r="M10" s="29">
        <f t="shared" ca="1" si="2"/>
        <v>2982603.5700000003</v>
      </c>
      <c r="N10" s="29">
        <f t="shared" ca="1" si="2"/>
        <v>2982603.5700000003</v>
      </c>
      <c r="O10" s="29">
        <f t="shared" ca="1" si="0"/>
        <v>103.93668776691112</v>
      </c>
      <c r="P10" s="29">
        <f t="shared" ca="1" si="1"/>
        <v>99.999999999999986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22" t="s">
        <v>12</v>
      </c>
      <c r="I11" s="269"/>
      <c r="J11" s="269"/>
      <c r="K11" s="497"/>
      <c r="L11" s="497">
        <f ca="1">L12+L13</f>
        <v>2707835</v>
      </c>
      <c r="M11" s="497">
        <f ca="1">M12+M13</f>
        <v>2820803.5700000003</v>
      </c>
      <c r="N11" s="497">
        <f ca="1">N12+N13</f>
        <v>2820803.5700000003</v>
      </c>
      <c r="O11" s="497">
        <f t="shared" ca="1" si="0"/>
        <v>104.17191483232915</v>
      </c>
      <c r="P11" s="497">
        <f t="shared" ca="1" si="1"/>
        <v>99.999999999999986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6"/>
      <c r="J12" s="616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6"/>
      <c r="J13" s="616"/>
      <c r="K13" s="92"/>
      <c r="L13" s="92">
        <f t="shared" ca="1" si="3"/>
        <v>2707835</v>
      </c>
      <c r="M13" s="92">
        <f t="shared" ca="1" si="3"/>
        <v>2820803.5700000003</v>
      </c>
      <c r="N13" s="92">
        <f t="shared" ca="1" si="3"/>
        <v>2820803.5700000003</v>
      </c>
      <c r="O13" s="92">
        <f t="shared" ca="1" si="0"/>
        <v>104.17191483232915</v>
      </c>
      <c r="P13" s="92">
        <f t="shared" ca="1" si="1"/>
        <v>99.999999999999986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22" t="s">
        <v>12</v>
      </c>
      <c r="I14" s="269"/>
      <c r="J14" s="269"/>
      <c r="K14" s="497"/>
      <c r="L14" s="497">
        <f ca="1">L15+L16</f>
        <v>161800</v>
      </c>
      <c r="M14" s="497">
        <f ca="1">M15+M16</f>
        <v>161800</v>
      </c>
      <c r="N14" s="497">
        <f ca="1">N15+N16</f>
        <v>161800</v>
      </c>
      <c r="O14" s="497">
        <f t="shared" ca="1" si="0"/>
        <v>100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6"/>
      <c r="J15" s="616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161800</v>
      </c>
      <c r="M16" s="51">
        <f t="shared" ca="1" si="4"/>
        <v>161800</v>
      </c>
      <c r="N16" s="51">
        <f t="shared" ca="1" si="4"/>
        <v>161800</v>
      </c>
      <c r="O16" s="51">
        <f t="shared" ca="1" si="0"/>
        <v>100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2091540</v>
      </c>
      <c r="M18" s="21">
        <f ca="1">M19+M20</f>
        <v>2269104</v>
      </c>
      <c r="N18" s="21">
        <f ca="1">N19+N20</f>
        <v>2269104</v>
      </c>
      <c r="O18" s="21">
        <f t="shared" ref="O18:O26" ca="1" si="5">IF(L18&gt;0,N18*100/L18,0)</f>
        <v>108.48962965087925</v>
      </c>
      <c r="P18" s="21">
        <f t="shared" ref="P18:P26" ca="1" si="6">IF(M18&gt;0,N18*100/M18,0)</f>
        <v>100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2091540</v>
      </c>
      <c r="M20" s="29">
        <f t="shared" ca="1" si="7"/>
        <v>2269104</v>
      </c>
      <c r="N20" s="29">
        <f t="shared" ca="1" si="7"/>
        <v>2269104</v>
      </c>
      <c r="O20" s="29">
        <f t="shared" ca="1" si="5"/>
        <v>108.48962965087925</v>
      </c>
      <c r="P20" s="29">
        <f t="shared" ca="1" si="6"/>
        <v>100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22" t="s">
        <v>12</v>
      </c>
      <c r="I21" s="269"/>
      <c r="J21" s="269"/>
      <c r="K21" s="497"/>
      <c r="L21" s="497">
        <f ca="1">L22+L23</f>
        <v>1929740</v>
      </c>
      <c r="M21" s="497">
        <f ca="1">M22+M23</f>
        <v>2107304</v>
      </c>
      <c r="N21" s="497">
        <f ca="1">N22+N23</f>
        <v>2107304</v>
      </c>
      <c r="O21" s="497">
        <f t="shared" ca="1" si="5"/>
        <v>109.20144682703369</v>
      </c>
      <c r="P21" s="497">
        <f t="shared" ca="1" si="6"/>
        <v>100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6"/>
      <c r="J22" s="616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6"/>
      <c r="J23" s="616"/>
      <c r="K23" s="92"/>
      <c r="L23" s="92">
        <f t="shared" ca="1" si="8"/>
        <v>1929740</v>
      </c>
      <c r="M23" s="92">
        <f t="shared" ca="1" si="8"/>
        <v>2107304</v>
      </c>
      <c r="N23" s="92">
        <f t="shared" ca="1" si="8"/>
        <v>2107304</v>
      </c>
      <c r="O23" s="92">
        <f t="shared" ca="1" si="5"/>
        <v>109.20144682703369</v>
      </c>
      <c r="P23" s="92">
        <f t="shared" ca="1" si="6"/>
        <v>100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22" t="s">
        <v>12</v>
      </c>
      <c r="I24" s="269"/>
      <c r="J24" s="269"/>
      <c r="K24" s="497"/>
      <c r="L24" s="497">
        <f ca="1">L25+L26</f>
        <v>161800</v>
      </c>
      <c r="M24" s="497">
        <f ca="1">M25+M26</f>
        <v>161800</v>
      </c>
      <c r="N24" s="497">
        <f ca="1">N25+N26</f>
        <v>161800</v>
      </c>
      <c r="O24" s="497">
        <f t="shared" ca="1" si="5"/>
        <v>100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6"/>
      <c r="J25" s="616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161800</v>
      </c>
      <c r="M26" s="51">
        <f t="shared" ca="1" si="9"/>
        <v>161800</v>
      </c>
      <c r="N26" s="51">
        <f t="shared" ca="1" si="9"/>
        <v>161800</v>
      </c>
      <c r="O26" s="51">
        <f t="shared" ca="1" si="5"/>
        <v>100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778095</v>
      </c>
      <c r="M28" s="21">
        <f ca="1">M29+M30</f>
        <v>713499.57000000007</v>
      </c>
      <c r="N28" s="21">
        <f>N29+N30</f>
        <v>713499.57000000007</v>
      </c>
      <c r="O28" s="21">
        <f t="shared" ref="O28:O37" ca="1" si="10">IF(L28&gt;0,N28*100/L28,0)</f>
        <v>91.698259209993637</v>
      </c>
      <c r="P28" s="21">
        <f t="shared" ref="P28:P37" ca="1" si="11">IF(M28&gt;0,N28*100/M28,0)</f>
        <v>99.999999999999986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778095</v>
      </c>
      <c r="M30" s="29">
        <f t="shared" ca="1" si="12"/>
        <v>713499.57000000007</v>
      </c>
      <c r="N30" s="29">
        <f t="shared" si="12"/>
        <v>713499.57000000007</v>
      </c>
      <c r="O30" s="29">
        <f t="shared" ca="1" si="10"/>
        <v>91.698259209993637</v>
      </c>
      <c r="P30" s="29">
        <f t="shared" ca="1" si="11"/>
        <v>99.999999999999986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22" t="s">
        <v>12</v>
      </c>
      <c r="I31" s="269"/>
      <c r="J31" s="269"/>
      <c r="K31" s="497"/>
      <c r="L31" s="497">
        <f ca="1">L32+L33</f>
        <v>778095</v>
      </c>
      <c r="M31" s="497">
        <f ca="1">M32+M33</f>
        <v>713499.57000000007</v>
      </c>
      <c r="N31" s="497">
        <f>N32+N33</f>
        <v>713499.57000000007</v>
      </c>
      <c r="O31" s="497">
        <f t="shared" ca="1" si="10"/>
        <v>91.698259209993637</v>
      </c>
      <c r="P31" s="497">
        <f t="shared" ca="1" si="11"/>
        <v>99.999999999999986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6"/>
      <c r="J32" s="616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6"/>
      <c r="J33" s="616"/>
      <c r="K33" s="92"/>
      <c r="L33" s="92">
        <f t="shared" ca="1" si="13"/>
        <v>778095</v>
      </c>
      <c r="M33" s="92">
        <f t="shared" ca="1" si="13"/>
        <v>713499.57000000007</v>
      </c>
      <c r="N33" s="92">
        <f t="shared" si="13"/>
        <v>713499.57000000007</v>
      </c>
      <c r="O33" s="92">
        <f t="shared" ca="1" si="10"/>
        <v>91.698259209993637</v>
      </c>
      <c r="P33" s="92">
        <f t="shared" ca="1" si="11"/>
        <v>99.999999999999986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22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6"/>
      <c r="J35" s="616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868" t="s">
        <v>24</v>
      </c>
      <c r="B37" s="867"/>
      <c r="C37" s="867"/>
      <c r="D37" s="867"/>
      <c r="E37" s="867"/>
      <c r="F37" s="867"/>
      <c r="G37" s="866"/>
      <c r="H37" s="865"/>
      <c r="I37" s="864"/>
      <c r="J37" s="864"/>
      <c r="K37" s="863"/>
      <c r="L37" s="862">
        <f ca="1">L41+L53+L66+L88+L119+L132+L149+L165+L181+L261+L277+L298+L315+L328+L345+L389+L402</f>
        <v>2091540</v>
      </c>
      <c r="M37" s="862">
        <f ca="1">M41+M53+M66+M88+M119+M132+M149+M165+M181+M261+M277+M298+M315+M328+M345+M389+M402</f>
        <v>2269104</v>
      </c>
      <c r="N37" s="862">
        <f ca="1">N41+N53+N66+N88+N119+N132+N149+N165+N181+N261+N277+N298+N315+N328+N345+N389+N402</f>
        <v>2269104</v>
      </c>
      <c r="O37" s="862">
        <f t="shared" ca="1" si="10"/>
        <v>108.48962965087925</v>
      </c>
      <c r="P37" s="862">
        <f t="shared" ca="1" si="11"/>
        <v>100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9" t="s">
        <v>27</v>
      </c>
      <c r="C40" s="888"/>
      <c r="D40" s="888"/>
      <c r="E40" s="888"/>
      <c r="F40" s="888"/>
      <c r="G40" s="894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1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186700</v>
      </c>
      <c r="M41" s="84">
        <f ca="1">M42+M43</f>
        <v>239634</v>
      </c>
      <c r="N41" s="84">
        <f ca="1">N42+N43</f>
        <v>239634</v>
      </c>
      <c r="O41" s="84">
        <f t="shared" ref="O41:O49" ca="1" si="15">IF(L41&gt;0,N41*100/L41,0)</f>
        <v>128.35243706480986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186700</v>
      </c>
      <c r="M43" s="91">
        <f t="shared" ca="1" si="17"/>
        <v>239634</v>
      </c>
      <c r="N43" s="91">
        <f t="shared" ca="1" si="17"/>
        <v>239634</v>
      </c>
      <c r="O43" s="91">
        <f t="shared" ca="1" si="15"/>
        <v>128.35243706480986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22" t="s">
        <v>12</v>
      </c>
      <c r="I44" s="269"/>
      <c r="J44" s="269"/>
      <c r="K44" s="497"/>
      <c r="L44" s="497">
        <f ca="1">L45+L46</f>
        <v>186700</v>
      </c>
      <c r="M44" s="497">
        <f ca="1">M45+M46</f>
        <v>239634</v>
      </c>
      <c r="N44" s="497">
        <f ca="1">N45+N46</f>
        <v>239634</v>
      </c>
      <c r="O44" s="497">
        <f t="shared" ca="1" si="15"/>
        <v>128.35243706480986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6"/>
      <c r="J45" s="616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6"/>
      <c r="J46" s="616"/>
      <c r="K46" s="92"/>
      <c r="L46" s="92">
        <f ca="1">IFERROR(__xludf.DUMMYFUNCTION("IMPORTRANGE(""https://docs.google.com/spreadsheets/d/1MeEWN-I1oV_STSDYn1IFDPWt_1FKiwhDph83XaGc0o0/edit?usp=sharing"",""งบพรบ!M84"")"),186700)</f>
        <v>186700</v>
      </c>
      <c r="M46" s="92">
        <f ca="1">IFERROR(__xludf.DUMMYFUNCTION("IMPORTRANGE(""https://docs.google.com/spreadsheets/d/1MeEWN-I1oV_STSDYn1IFDPWt_1FKiwhDph83XaGc0o0/edit?usp=sharing"",""งบพรบ!R84"")"),239634)</f>
        <v>239634</v>
      </c>
      <c r="N46" s="92">
        <f ca="1">IFERROR(__xludf.DUMMYFUNCTION("IMPORTRANGE(""https://docs.google.com/spreadsheets/d/1MeEWN-I1oV_STSDYn1IFDPWt_1FKiwhDph83XaGc0o0/edit?usp=sharing"",""งบพรบ!T84"")"),239634)</f>
        <v>239634</v>
      </c>
      <c r="O46" s="92">
        <f t="shared" ca="1" si="15"/>
        <v>128.35243706480986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22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6"/>
      <c r="J48" s="616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IFERROR(__xludf.DUMMYFUNCTION("IMPORTRANGE(""https://docs.google.com/spreadsheets/d/1MeEWN-I1oV_STSDYn1IFDPWt_1FKiwhDph83XaGc0o0/edit?usp=sharing"",""งบพรบ!P84"")"),0)</f>
        <v>0</v>
      </c>
      <c r="M49" s="51">
        <f ca="1">IFERROR(__xludf.DUMMYFUNCTION("IMPORTRANGE(""https://docs.google.com/spreadsheets/d/1MeEWN-I1oV_STSDYn1IFDPWt_1FKiwhDph83XaGc0o0/edit?usp=sharing"",""งบพรบ!S84"")"),0)</f>
        <v>0</v>
      </c>
      <c r="N49" s="51">
        <f ca="1">IFERROR(__xludf.DUMMYFUNCTION("IMPORTRANGE(""https://docs.google.com/spreadsheets/d/1MeEWN-I1oV_STSDYn1IFDPWt_1FKiwhDph83XaGc0o0/edit?usp=sharing"",""งบพรบ!U84"")"),0)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3" t="s">
        <v>29</v>
      </c>
      <c r="C51" s="888"/>
      <c r="D51" s="888"/>
      <c r="E51" s="888"/>
      <c r="F51" s="888"/>
      <c r="G51" s="894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618600</v>
      </c>
      <c r="M53" s="115">
        <f ca="1">M54+M55</f>
        <v>626600</v>
      </c>
      <c r="N53" s="115">
        <f ca="1">N54+N55</f>
        <v>626600</v>
      </c>
      <c r="O53" s="115">
        <f t="shared" ref="O53:O61" ca="1" si="18">IF(L53&gt;0,N53*100/L53,0)</f>
        <v>101.29324280633689</v>
      </c>
      <c r="P53" s="115">
        <f t="shared" ref="P53:P61" ca="1" si="19">IF(M53&gt;0,N53*100/M53,0)</f>
        <v>100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618600</v>
      </c>
      <c r="M55" s="122">
        <f t="shared" ca="1" si="20"/>
        <v>626600</v>
      </c>
      <c r="N55" s="122">
        <f t="shared" ca="1" si="20"/>
        <v>626600</v>
      </c>
      <c r="O55" s="122">
        <f t="shared" ca="1" si="18"/>
        <v>101.29324280633689</v>
      </c>
      <c r="P55" s="122">
        <f t="shared" ca="1" si="19"/>
        <v>100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22" t="s">
        <v>12</v>
      </c>
      <c r="I56" s="269"/>
      <c r="J56" s="269"/>
      <c r="K56" s="497"/>
      <c r="L56" s="497">
        <f ca="1">L57+L58</f>
        <v>570600</v>
      </c>
      <c r="M56" s="497">
        <f ca="1">M57+M58</f>
        <v>578600</v>
      </c>
      <c r="N56" s="497">
        <f ca="1">N57+N58</f>
        <v>578600</v>
      </c>
      <c r="O56" s="497">
        <f t="shared" ca="1" si="18"/>
        <v>101.40203294777427</v>
      </c>
      <c r="P56" s="497">
        <f t="shared" ca="1" si="19"/>
        <v>100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6"/>
      <c r="J57" s="616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6"/>
      <c r="J58" s="616"/>
      <c r="K58" s="92"/>
      <c r="L58" s="92">
        <f ca="1">IFERROR(__xludf.DUMMYFUNCTION("IMPORTRANGE(""https://docs.google.com/spreadsheets/d/1MeEWN-I1oV_STSDYn1IFDPWt_1FKiwhDph83XaGc0o0/edit?usp=sharing"",""งบพรบ!W84"")"),570600)</f>
        <v>570600</v>
      </c>
      <c r="M58" s="92">
        <f ca="1">IFERROR(__xludf.DUMMYFUNCTION("IMPORTRANGE(""https://docs.google.com/spreadsheets/d/1MeEWN-I1oV_STSDYn1IFDPWt_1FKiwhDph83XaGc0o0/edit?usp=sharing"",""งบพรบ!AB84"")"),578600)</f>
        <v>578600</v>
      </c>
      <c r="N58" s="92">
        <f ca="1">IFERROR(__xludf.DUMMYFUNCTION("IMPORTRANGE(""https://docs.google.com/spreadsheets/d/1MeEWN-I1oV_STSDYn1IFDPWt_1FKiwhDph83XaGc0o0/edit?usp=sharing"",""งบพรบ!AD84"")"),578600)</f>
        <v>578600</v>
      </c>
      <c r="O58" s="92">
        <f t="shared" ca="1" si="18"/>
        <v>101.40203294777427</v>
      </c>
      <c r="P58" s="92">
        <f t="shared" ca="1" si="19"/>
        <v>100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22" t="s">
        <v>12</v>
      </c>
      <c r="I59" s="269"/>
      <c r="J59" s="269"/>
      <c r="K59" s="497"/>
      <c r="L59" s="497">
        <f ca="1">L60+L61</f>
        <v>48000</v>
      </c>
      <c r="M59" s="497">
        <f ca="1">M60+M61</f>
        <v>48000</v>
      </c>
      <c r="N59" s="497">
        <f ca="1">N60+N61</f>
        <v>48000</v>
      </c>
      <c r="O59" s="497">
        <f t="shared" ca="1" si="18"/>
        <v>100</v>
      </c>
      <c r="P59" s="497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6"/>
      <c r="J60" s="616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IFERROR(__xludf.DUMMYFUNCTION("IMPORTRANGE(""https://docs.google.com/spreadsheets/d/1MeEWN-I1oV_STSDYn1IFDPWt_1FKiwhDph83XaGc0o0/edit?usp=sharing"",""งบพรบ!Z84"")"),48000)</f>
        <v>48000</v>
      </c>
      <c r="M61" s="51">
        <f ca="1">IFERROR(__xludf.DUMMYFUNCTION("IMPORTRANGE(""https://docs.google.com/spreadsheets/d/1MeEWN-I1oV_STSDYn1IFDPWt_1FKiwhDph83XaGc0o0/edit?usp=sharing"",""งบพรบ!AC84"")"),48000)</f>
        <v>48000</v>
      </c>
      <c r="N61" s="51">
        <f ca="1">IFERROR(__xludf.DUMMYFUNCTION("IMPORTRANGE(""https://docs.google.com/spreadsheets/d/1MeEWN-I1oV_STSDYn1IFDPWt_1FKiwhDph83XaGc0o0/edit?usp=sharing"",""งบพรบ!AE84"")"),48000)</f>
        <v>48000</v>
      </c>
      <c r="O61" s="51">
        <f t="shared" ca="1" si="18"/>
        <v>100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46" t="s">
        <v>17</v>
      </c>
      <c r="E66" s="147"/>
      <c r="F66" s="147"/>
      <c r="G66" s="150"/>
      <c r="H66" s="151" t="s">
        <v>12</v>
      </c>
      <c r="I66" s="420"/>
      <c r="J66" s="420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6"/>
      <c r="J67" s="616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6"/>
      <c r="J68" s="616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IFERROR(__xludf.DUMMYFUNCTION("IMPORTRANGE(""https://docs.google.com/spreadsheets/d/1MeEWN-I1oV_STSDYn1IFDPWt_1FKiwhDph83XaGc0o0/edit?usp=sharing"",""งบพรบ!AG84"")"),0)</f>
        <v>0</v>
      </c>
      <c r="M71" s="92">
        <f ca="1">IFERROR(__xludf.DUMMYFUNCTION("IMPORTRANGE(""https://docs.google.com/spreadsheets/d/1MeEWN-I1oV_STSDYn1IFDPWt_1FKiwhDph83XaGc0o0/edit?usp=sharing"",""งบพรบ!AL84"")"),0)</f>
        <v>0</v>
      </c>
      <c r="N71" s="92">
        <f ca="1">IFERROR(__xludf.DUMMYFUNCTION("IMPORTRANGE(""https://docs.google.com/spreadsheets/d/1MeEWN-I1oV_STSDYn1IFDPWt_1FKiwhDph83XaGc0o0/edit?usp=sharing"",""งบพรบ!AN84"")"),0)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IFERROR(__xludf.DUMMYFUNCTION("IMPORTRANGE(""https://docs.google.com/spreadsheets/d/1MeEWN-I1oV_STSDYn1IFDPWt_1FKiwhDph83XaGc0o0/edit?usp=sharing"",""งบพรบ!AJ84"")"),0)</f>
        <v>0</v>
      </c>
      <c r="M74" s="92">
        <f ca="1">IFERROR(__xludf.DUMMYFUNCTION("IMPORTRANGE(""https://docs.google.com/spreadsheets/d/1MeEWN-I1oV_STSDYn1IFDPWt_1FKiwhDph83XaGc0o0/edit?usp=sharing"",""งบพรบ!AM84"")"),0)</f>
        <v>0</v>
      </c>
      <c r="N74" s="92">
        <f ca="1">IFERROR(__xludf.DUMMYFUNCTION("IMPORTRANGE(""https://docs.google.com/spreadsheets/d/1MeEWN-I1oV_STSDYn1IFDPWt_1FKiwhDph83XaGc0o0/edit?usp=sharing"",""งบพรบ!AO84"")"),0)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47" t="s">
        <v>38</v>
      </c>
      <c r="E75" s="172"/>
      <c r="F75" s="172"/>
      <c r="G75" s="173"/>
      <c r="H75" s="761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7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7" t="s">
        <v>40</v>
      </c>
      <c r="F78" s="447"/>
      <c r="G78" s="178"/>
      <c r="H78" s="763" t="s">
        <v>34</v>
      </c>
      <c r="I78" s="183">
        <f ca="1">IFERROR(__xludf.DUMMYFUNCTION("IMPORTRANGE(""https://docs.google.com/spreadsheets/d/1QqKyyYR6Q21VydFLVH3TRQUabQu_ym0Zz7PgGX0-kHA/edit?usp=sharing"",""แผน!H84"")"),0)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63" t="s">
        <v>35</v>
      </c>
      <c r="I79" s="183">
        <f ca="1">IFERROR(__xludf.DUMMYFUNCTION("IMPORTRANGE(""https://docs.google.com/spreadsheets/d/1QqKyyYR6Q21VydFLVH3TRQUabQu_ym0Zz7PgGX0-kHA/edit?usp=sharing"",""แผน!I84"")"),0)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7" t="s">
        <v>41</v>
      </c>
      <c r="F80" s="447"/>
      <c r="G80" s="178"/>
      <c r="H80" s="763" t="s">
        <v>34</v>
      </c>
      <c r="I80" s="183">
        <f ca="1">IFERROR(__xludf.DUMMYFUNCTION("IMPORTRANGE(""https://docs.google.com/spreadsheets/d/1QqKyyYR6Q21VydFLVH3TRQUabQu_ym0Zz7PgGX0-kHA/edit?usp=sharing"",""แผน!F84"")"),0)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63" t="s">
        <v>35</v>
      </c>
      <c r="I81" s="183">
        <f ca="1">IFERROR(__xludf.DUMMYFUNCTION("IMPORTRANGE(""https://docs.google.com/spreadsheets/d/1QqKyyYR6Q21VydFLVH3TRQUabQu_ym0Zz7PgGX0-kHA/edit?usp=sharing"",""แผน!G84"")"),0)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7" t="s">
        <v>42</v>
      </c>
      <c r="F82" s="447"/>
      <c r="G82" s="178"/>
      <c r="H82" s="763" t="s">
        <v>34</v>
      </c>
      <c r="I82" s="183">
        <f ca="1">IFERROR(__xludf.DUMMYFUNCTION("IMPORTRANGE(""https://docs.google.com/spreadsheets/d/1QqKyyYR6Q21VydFLVH3TRQUabQu_ym0Zz7PgGX0-kHA/edit?usp=sharing"",""แผน!D84"")"),0)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63" t="s">
        <v>35</v>
      </c>
      <c r="I83" s="183">
        <f ca="1">IFERROR(__xludf.DUMMYFUNCTION("IMPORTRANGE(""https://docs.google.com/spreadsheets/d/1QqKyyYR6Q21VydFLVH3TRQUabQu_ym0Zz7PgGX0-kHA/edit?usp=sharing"",""แผน!E84"")"),0)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7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IFERROR(__xludf.DUMMYFUNCTION("IMPORTRANGE(""https://docs.google.com/spreadsheets/d/1QqKyyYR6Q21VydFLVH3TRQUabQu_ym0Zz7PgGX0-kHA/edit?usp=sharing"",""แผน!J84"")"),0)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46" t="s">
        <v>17</v>
      </c>
      <c r="E88" s="147"/>
      <c r="F88" s="147"/>
      <c r="G88" s="150"/>
      <c r="H88" s="151" t="s">
        <v>12</v>
      </c>
      <c r="I88" s="420"/>
      <c r="J88" s="420"/>
      <c r="K88" s="153"/>
      <c r="L88" s="154">
        <f ca="1">L89+L90</f>
        <v>245340</v>
      </c>
      <c r="M88" s="154">
        <f ca="1">M89+M90</f>
        <v>245340</v>
      </c>
      <c r="N88" s="154">
        <f ca="1">N89+N90</f>
        <v>245340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6"/>
      <c r="J89" s="616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6"/>
      <c r="J90" s="616"/>
      <c r="K90" s="92"/>
      <c r="L90" s="92">
        <f t="shared" ca="1" si="27"/>
        <v>245340</v>
      </c>
      <c r="M90" s="92">
        <f t="shared" ca="1" si="27"/>
        <v>245340</v>
      </c>
      <c r="N90" s="92">
        <f t="shared" ca="1" si="27"/>
        <v>245340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245340</v>
      </c>
      <c r="M91" s="497">
        <f ca="1">M92+M93</f>
        <v>245340</v>
      </c>
      <c r="N91" s="497">
        <f ca="1">N92+N93</f>
        <v>245340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IFERROR(__xludf.DUMMYFUNCTION("IMPORTRANGE(""https://docs.google.com/spreadsheets/d/1MeEWN-I1oV_STSDYn1IFDPWt_1FKiwhDph83XaGc0o0/edit?usp=sharing"",""งบพรบ!AQ84"")"),245340)</f>
        <v>245340</v>
      </c>
      <c r="M93" s="92">
        <f ca="1">IFERROR(__xludf.DUMMYFUNCTION("IMPORTRANGE(""https://docs.google.com/spreadsheets/d/1MeEWN-I1oV_STSDYn1IFDPWt_1FKiwhDph83XaGc0o0/edit?usp=sharing"",""งบพรบ!AV84"")"),245340)</f>
        <v>245340</v>
      </c>
      <c r="N93" s="92">
        <f ca="1">IFERROR(__xludf.DUMMYFUNCTION("IMPORTRANGE(""https://docs.google.com/spreadsheets/d/1MeEWN-I1oV_STSDYn1IFDPWt_1FKiwhDph83XaGc0o0/edit?usp=sharing"",""งบพรบ!AX84"")"),245340)</f>
        <v>245340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IFERROR(__xludf.DUMMYFUNCTION("IMPORTRANGE(""https://docs.google.com/spreadsheets/d/1MeEWN-I1oV_STSDYn1IFDPWt_1FKiwhDph83XaGc0o0/edit?usp=sharing"",""งบพรบ!AT84"")"),0)</f>
        <v>0</v>
      </c>
      <c r="M96" s="92">
        <f ca="1">IFERROR(__xludf.DUMMYFUNCTION("IMPORTRANGE(""https://docs.google.com/spreadsheets/d/1MeEWN-I1oV_STSDYn1IFDPWt_1FKiwhDph83XaGc0o0/edit?usp=sharing"",""งบพรบ!AW84"")"),0)</f>
        <v>0</v>
      </c>
      <c r="N96" s="92">
        <f ca="1">IFERROR(__xludf.DUMMYFUNCTION("IMPORTRANGE(""https://docs.google.com/spreadsheets/d/1MeEWN-I1oV_STSDYn1IFDPWt_1FKiwhDph83XaGc0o0/edit?usp=sharing"",""งบพรบ!AY84"")"),0)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47" t="s">
        <v>38</v>
      </c>
      <c r="E97" s="172"/>
      <c r="F97" s="172"/>
      <c r="G97" s="173"/>
      <c r="H97" s="761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7" t="s">
        <v>47</v>
      </c>
      <c r="E98" s="447"/>
      <c r="F98" s="177"/>
      <c r="G98" s="178"/>
      <c r="H98" s="622" t="s">
        <v>46</v>
      </c>
      <c r="I98" s="269">
        <f ca="1">IFERROR(__xludf.DUMMYFUNCTION("IMPORTRANGE(""https://docs.google.com/spreadsheets/d/1QqKyyYR6Q21VydFLVH3TRQUabQu_ym0Zz7PgGX0-kHA/edit?usp=sharing"",""แผน!K84"")"),30)</f>
        <v>30</v>
      </c>
      <c r="J98" s="269">
        <f>J102</f>
        <v>30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7" t="s">
        <v>48</v>
      </c>
      <c r="E99" s="447"/>
      <c r="F99" s="177"/>
      <c r="G99" s="178"/>
      <c r="H99" s="622" t="s">
        <v>35</v>
      </c>
      <c r="I99" s="269">
        <f ca="1">IFERROR(__xludf.DUMMYFUNCTION("IMPORTRANGE(""https://docs.google.com/spreadsheets/d/1QqKyyYR6Q21VydFLVH3TRQUabQu_ym0Zz7PgGX0-kHA/edit?usp=sharing"",""แผน!L84"")"),10)</f>
        <v>10</v>
      </c>
      <c r="J99" s="269">
        <f>J104</f>
        <v>10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22" t="s">
        <v>49</v>
      </c>
      <c r="I100" s="269">
        <f ca="1">IFERROR(__xludf.DUMMYFUNCTION("IMPORTRANGE(""https://docs.google.com/spreadsheets/d/1QqKyyYR6Q21VydFLVH3TRQUabQu_ym0Zz7PgGX0-kHA/edit?usp=sharing"",""แผน!M84"")"),2)</f>
        <v>2</v>
      </c>
      <c r="J100" s="269">
        <f>J107+J110</f>
        <v>2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22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5" t="s">
        <v>47</v>
      </c>
      <c r="F102" s="177"/>
      <c r="G102" s="178"/>
      <c r="H102" s="622" t="s">
        <v>46</v>
      </c>
      <c r="I102" s="269">
        <f ca="1">IFERROR(__xludf.DUMMYFUNCTION("IMPORTRANGE(""https://docs.google.com/spreadsheets/d/1QqKyyYR6Q21VydFLVH3TRQUabQu_ym0Zz7PgGX0-kHA/edit?usp=sharing"",""แผน!N84"")"),30)</f>
        <v>30</v>
      </c>
      <c r="J102" s="214">
        <v>30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7" t="s">
        <v>51</v>
      </c>
      <c r="F103" s="177"/>
      <c r="G103" s="178"/>
      <c r="H103" s="622" t="s">
        <v>35</v>
      </c>
      <c r="I103" s="269">
        <f ca="1">IFERROR(__xludf.DUMMYFUNCTION("IMPORTRANGE(""https://docs.google.com/spreadsheets/d/1QqKyyYR6Q21VydFLVH3TRQUabQu_ym0Zz7PgGX0-kHA/edit?usp=sharing"",""แผน!O84"")"),10)</f>
        <v>10</v>
      </c>
      <c r="J103" s="214">
        <v>10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22" t="s">
        <v>35</v>
      </c>
      <c r="I104" s="269">
        <f ca="1">IFERROR(__xludf.DUMMYFUNCTION("IMPORTRANGE(""https://docs.google.com/spreadsheets/d/1QqKyyYR6Q21VydFLVH3TRQUabQu_ym0Zz7PgGX0-kHA/edit?usp=sharing"",""แผน!O84"")"),10)</f>
        <v>10</v>
      </c>
      <c r="J104" s="214">
        <v>10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7" t="s">
        <v>54</v>
      </c>
      <c r="F106" s="177"/>
      <c r="G106" s="178"/>
      <c r="H106" s="622" t="s">
        <v>49</v>
      </c>
      <c r="I106" s="269">
        <f ca="1">IFERROR(__xludf.DUMMYFUNCTION("IMPORTRANGE(""https://docs.google.com/spreadsheets/d/1QqKyyYR6Q21VydFLVH3TRQUabQu_ym0Zz7PgGX0-kHA/edit?usp=sharing"",""แผน!P84"")"),1)</f>
        <v>1</v>
      </c>
      <c r="J106" s="21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22" t="s">
        <v>49</v>
      </c>
      <c r="I107" s="269">
        <f ca="1">IFERROR(__xludf.DUMMYFUNCTION("IMPORTRANGE(""https://docs.google.com/spreadsheets/d/1QqKyyYR6Q21VydFLVH3TRQUabQu_ym0Zz7PgGX0-kHA/edit?usp=sharing"",""แผน!P84"")"),1)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7" t="s">
        <v>57</v>
      </c>
      <c r="F109" s="177"/>
      <c r="G109" s="178"/>
      <c r="H109" s="622" t="s">
        <v>49</v>
      </c>
      <c r="I109" s="269">
        <f ca="1">IFERROR(__xludf.DUMMYFUNCTION("IMPORTRANGE(""https://docs.google.com/spreadsheets/d/1QqKyyYR6Q21VydFLVH3TRQUabQu_ym0Zz7PgGX0-kHA/edit?usp=sharing"",""แผน!Q84"")"),1)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22" t="s">
        <v>49</v>
      </c>
      <c r="I110" s="269">
        <f ca="1">IFERROR(__xludf.DUMMYFUNCTION("IMPORTRANGE(""https://docs.google.com/spreadsheets/d/1QqKyyYR6Q21VydFLVH3TRQUabQu_ym0Zz7PgGX0-kHA/edit?usp=sharing"",""แผน!Q84"")"),1)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6" t="s">
        <v>35</v>
      </c>
      <c r="I111" s="192">
        <f ca="1">IFERROR(__xludf.DUMMYFUNCTION("IMPORTRANGE(""https://docs.google.com/spreadsheets/d/1QqKyyYR6Q21VydFLVH3TRQUabQu_ym0Zz7PgGX0-kHA/edit?usp=sharing"",""แผน!R84"")"),10)</f>
        <v>10</v>
      </c>
      <c r="J111" s="680">
        <f>J114</f>
        <v>10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2</v>
      </c>
      <c r="J112" s="680">
        <f>J115+J116</f>
        <v>2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31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IFERROR(__xludf.DUMMYFUNCTION("IMPORTRANGE(""https://docs.google.com/spreadsheets/d/1QqKyyYR6Q21VydFLVH3TRQUabQu_ym0Zz7PgGX0-kHA/edit?usp=sharing"",""แผน!R84"")"),10)</f>
        <v>10</v>
      </c>
      <c r="J113" s="214">
        <v>10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7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IFERROR(__xludf.DUMMYFUNCTION("IMPORTRANGE(""https://docs.google.com/spreadsheets/d/1QqKyyYR6Q21VydFLVH3TRQUabQu_ym0Zz7PgGX0-kHA/edit?usp=sharing"",""แผน!R84"")"),10)</f>
        <v>10</v>
      </c>
      <c r="J114" s="214">
        <v>10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7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IFERROR(__xludf.DUMMYFUNCTION("IMPORTRANGE(""https://docs.google.com/spreadsheets/d/1QqKyyYR6Q21VydFLVH3TRQUabQu_ym0Zz7PgGX0-kHA/edit?usp=sharing"",""แผน!S84"")"),1)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7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IFERROR(__xludf.DUMMYFUNCTION("IMPORTRANGE(""https://docs.google.com/spreadsheets/d/1QqKyyYR6Q21VydFLVH3TRQUabQu_ym0Zz7PgGX0-kHA/edit?usp=sharing"",""แผน!T84"")"),1)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46" t="s">
        <v>17</v>
      </c>
      <c r="E119" s="147"/>
      <c r="F119" s="147"/>
      <c r="G119" s="150"/>
      <c r="H119" s="151" t="s">
        <v>12</v>
      </c>
      <c r="I119" s="420"/>
      <c r="J119" s="420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6"/>
      <c r="J120" s="616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6"/>
      <c r="J121" s="616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IFERROR(__xludf.DUMMYFUNCTION("IMPORTRANGE(""https://docs.google.com/spreadsheets/d/1MeEWN-I1oV_STSDYn1IFDPWt_1FKiwhDph83XaGc0o0/edit?usp=sharing"",""งบพรบ!BA84"")"),0)</f>
        <v>0</v>
      </c>
      <c r="M124" s="92">
        <f ca="1">IFERROR(__xludf.DUMMYFUNCTION("IMPORTRANGE(""https://docs.google.com/spreadsheets/d/1MeEWN-I1oV_STSDYn1IFDPWt_1FKiwhDph83XaGc0o0/edit?usp=sharing"",""งบพรบ!BF84"")"),0)</f>
        <v>0</v>
      </c>
      <c r="N124" s="92">
        <f ca="1">IFERROR(__xludf.DUMMYFUNCTION("IMPORTRANGE(""https://docs.google.com/spreadsheets/d/1MeEWN-I1oV_STSDYn1IFDPWt_1FKiwhDph83XaGc0o0/edit?usp=sharing"",""งบพรบ!BH84"")"),0)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IFERROR(__xludf.DUMMYFUNCTION("IMPORTRANGE(""https://docs.google.com/spreadsheets/d/1MeEWN-I1oV_STSDYn1IFDPWt_1FKiwhDph83XaGc0o0/edit?usp=sharing"",""งบพรบ!BD84"")"),0)</f>
        <v>0</v>
      </c>
      <c r="M127" s="92">
        <f ca="1">IFERROR(__xludf.DUMMYFUNCTION("IMPORTRANGE(""https://docs.google.com/spreadsheets/d/1MeEWN-I1oV_STSDYn1IFDPWt_1FKiwhDph83XaGc0o0/edit?usp=sharing"",""งบพรบ!BG84"")"),0)</f>
        <v>0</v>
      </c>
      <c r="N127" s="92">
        <f ca="1">IFERROR(__xludf.DUMMYFUNCTION("IMPORTRANGE(""https://docs.google.com/spreadsheets/d/1MeEWN-I1oV_STSDYn1IFDPWt_1FKiwhDph83XaGc0o0/edit?usp=sharing"",""งบพรบ!BI84"")"),0)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46" t="s">
        <v>17</v>
      </c>
      <c r="E132" s="147"/>
      <c r="F132" s="147"/>
      <c r="G132" s="150"/>
      <c r="H132" s="151" t="s">
        <v>12</v>
      </c>
      <c r="I132" s="420"/>
      <c r="J132" s="420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6"/>
      <c r="J133" s="616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6"/>
      <c r="J134" s="616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IFERROR(__xludf.DUMMYFUNCTION("IMPORTRANGE(""https://docs.google.com/spreadsheets/d/1MeEWN-I1oV_STSDYn1IFDPWt_1FKiwhDph83XaGc0o0/edit?usp=sharing"",""งบพรบ!BK84"")"),0)</f>
        <v>0</v>
      </c>
      <c r="M137" s="92">
        <f ca="1">IFERROR(__xludf.DUMMYFUNCTION("IMPORTRANGE(""https://docs.google.com/spreadsheets/d/1MeEWN-I1oV_STSDYn1IFDPWt_1FKiwhDph83XaGc0o0/edit?usp=sharing"",""งบพรบ!BP84"")"),0)</f>
        <v>0</v>
      </c>
      <c r="N137" s="92">
        <f ca="1">IFERROR(__xludf.DUMMYFUNCTION("IMPORTRANGE(""https://docs.google.com/spreadsheets/d/1MeEWN-I1oV_STSDYn1IFDPWt_1FKiwhDph83XaGc0o0/edit?usp=sharing"",""งบพรบ!BR84"")"),0)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IFERROR(__xludf.DUMMYFUNCTION("IMPORTRANGE(""https://docs.google.com/spreadsheets/d/1MeEWN-I1oV_STSDYn1IFDPWt_1FKiwhDph83XaGc0o0/edit?usp=sharing"",""งบพรบ!BN84"")"),0)</f>
        <v>0</v>
      </c>
      <c r="M140" s="92">
        <f ca="1">IFERROR(__xludf.DUMMYFUNCTION("IMPORTRANGE(""https://docs.google.com/spreadsheets/d/1MeEWN-I1oV_STSDYn1IFDPWt_1FKiwhDph83XaGc0o0/edit?usp=sharing"",""งบพรบ!BQ84"")"),0)</f>
        <v>0</v>
      </c>
      <c r="N140" s="92">
        <f ca="1">IFERROR(__xludf.DUMMYFUNCTION("IMPORTRANGE(""https://docs.google.com/spreadsheets/d/1MeEWN-I1oV_STSDYn1IFDPWt_1FKiwhDph83XaGc0o0/edit?usp=sharing"",""งบพรบ!BS84"")"),0)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4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IFERROR(__xludf.DUMMYFUNCTION("IMPORTRANGE(""https://docs.google.com/spreadsheets/d/1QqKyyYR6Q21VydFLVH3TRQUabQu_ym0Zz7PgGX0-kHA/edit?usp=sharing"",""แผน!U84"")"),0)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IFERROR(__xludf.DUMMYFUNCTION("IMPORTRANGE(""https://docs.google.com/spreadsheets/d/1QqKyyYR6Q21VydFLVH3TRQUabQu_ym0Zz7PgGX0-kHA/edit?usp=sharing"",""แผน!V84"")"),0)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IFERROR(__xludf.DUMMYFUNCTION("IMPORTRANGE(""https://docs.google.com/spreadsheets/d/1QqKyyYR6Q21VydFLVH3TRQUabQu_ym0Zz7PgGX0-kHA/edit?usp=sharing"",""แผน!W84"")"),0)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 hidden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 hidden="1">
      <c r="A148" s="216"/>
      <c r="B148" s="208" t="s">
        <v>77</v>
      </c>
      <c r="C148" s="208"/>
      <c r="D148" s="208"/>
      <c r="E148" s="859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6"/>
      <c r="B149" s="147"/>
      <c r="C149" s="148" t="s">
        <v>16</v>
      </c>
      <c r="D149" s="846" t="s">
        <v>17</v>
      </c>
      <c r="E149" s="147"/>
      <c r="F149" s="147"/>
      <c r="G149" s="150"/>
      <c r="H149" s="151" t="s">
        <v>12</v>
      </c>
      <c r="I149" s="420"/>
      <c r="J149" s="420"/>
      <c r="K149" s="153"/>
      <c r="L149" s="154">
        <f ca="1">L150+L151</f>
        <v>0</v>
      </c>
      <c r="M149" s="154">
        <f ca="1">M150+M151</f>
        <v>0</v>
      </c>
      <c r="N149" s="154">
        <f ca="1">N150+N151</f>
        <v>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6"/>
      <c r="J150" s="616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6"/>
      <c r="J151" s="616"/>
      <c r="K151" s="92"/>
      <c r="L151" s="92">
        <f t="shared" ca="1" si="37"/>
        <v>0</v>
      </c>
      <c r="M151" s="92">
        <f t="shared" ca="1" si="37"/>
        <v>0</v>
      </c>
      <c r="N151" s="92">
        <f t="shared" ca="1" si="37"/>
        <v>0</v>
      </c>
      <c r="O151" s="92">
        <f t="shared" ca="1" si="35"/>
        <v>0</v>
      </c>
      <c r="P151" s="92">
        <f t="shared" ca="1" si="36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0</v>
      </c>
      <c r="N152" s="497">
        <f ca="1">N153+N154</f>
        <v>0</v>
      </c>
      <c r="O152" s="497">
        <f t="shared" ca="1" si="35"/>
        <v>0</v>
      </c>
      <c r="P152" s="497">
        <f t="shared" ca="1" si="36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IFERROR(__xludf.DUMMYFUNCTION("IMPORTRANGE(""https://docs.google.com/spreadsheets/d/1MeEWN-I1oV_STSDYn1IFDPWt_1FKiwhDph83XaGc0o0/edit?usp=sharing"",""งบพรบ!BU84"")"),0)</f>
        <v>0</v>
      </c>
      <c r="M154" s="92">
        <f ca="1">IFERROR(__xludf.DUMMYFUNCTION("IMPORTRANGE(""https://docs.google.com/spreadsheets/d/1MeEWN-I1oV_STSDYn1IFDPWt_1FKiwhDph83XaGc0o0/edit?usp=sharing"",""งบพรบ!BZ84"")"),0)</f>
        <v>0</v>
      </c>
      <c r="N154" s="92">
        <f ca="1">IFERROR(__xludf.DUMMYFUNCTION("IMPORTRANGE(""https://docs.google.com/spreadsheets/d/1MeEWN-I1oV_STSDYn1IFDPWt_1FKiwhDph83XaGc0o0/edit?usp=sharing"",""งบพรบ!CB84"")"),0)</f>
        <v>0</v>
      </c>
      <c r="O154" s="92">
        <f t="shared" ca="1" si="35"/>
        <v>0</v>
      </c>
      <c r="P154" s="92">
        <f t="shared" ca="1" si="36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IFERROR(__xludf.DUMMYFUNCTION("IMPORTRANGE(""https://docs.google.com/spreadsheets/d/1MeEWN-I1oV_STSDYn1IFDPWt_1FKiwhDph83XaGc0o0/edit?usp=sharing"",""งบพรบ!BX84"")"),0)</f>
        <v>0</v>
      </c>
      <c r="M157" s="92">
        <f ca="1">IFERROR(__xludf.DUMMYFUNCTION("IMPORTRANGE(""https://docs.google.com/spreadsheets/d/1MeEWN-I1oV_STSDYn1IFDPWt_1FKiwhDph83XaGc0o0/edit?usp=sharing"",""งบพรบ!CA84"")"),0)</f>
        <v>0</v>
      </c>
      <c r="N157" s="92">
        <f ca="1">IFERROR(__xludf.DUMMYFUNCTION("IMPORTRANGE(""https://docs.google.com/spreadsheets/d/1MeEWN-I1oV_STSDYn1IFDPWt_1FKiwhDph83XaGc0o0/edit?usp=sharing"",""งบพรบ!CC84"")"),0)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4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IFERROR(__xludf.DUMMYFUNCTION("IMPORTRANGE(""https://docs.google.com/spreadsheets/d/1QqKyyYR6Q21VydFLVH3TRQUabQu_ym0Zz7PgGX0-kHA/edit?usp=sharing"",""แผน!X84"")"),0)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6"/>
      <c r="J160" s="616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58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10</v>
      </c>
      <c r="J164" s="252">
        <f>J174+J177</f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46" t="s">
        <v>17</v>
      </c>
      <c r="E165" s="147"/>
      <c r="F165" s="147"/>
      <c r="G165" s="150"/>
      <c r="H165" s="151" t="s">
        <v>12</v>
      </c>
      <c r="I165" s="420"/>
      <c r="J165" s="420"/>
      <c r="K165" s="153"/>
      <c r="L165" s="154">
        <f ca="1">L166+L167</f>
        <v>21050</v>
      </c>
      <c r="M165" s="154">
        <f ca="1">M166+M167</f>
        <v>80180</v>
      </c>
      <c r="N165" s="154">
        <f ca="1">N166+N167</f>
        <v>80180</v>
      </c>
      <c r="O165" s="154">
        <f t="shared" ref="O165:O173" ca="1" si="38">IF(L165&gt;0,N165*100/L165,0)</f>
        <v>380.90261282660333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6"/>
      <c r="J166" s="616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6"/>
      <c r="J167" s="616"/>
      <c r="K167" s="92"/>
      <c r="L167" s="92">
        <f t="shared" ca="1" si="40"/>
        <v>21050</v>
      </c>
      <c r="M167" s="92">
        <f t="shared" ca="1" si="40"/>
        <v>80180</v>
      </c>
      <c r="N167" s="92">
        <f t="shared" ca="1" si="40"/>
        <v>80180</v>
      </c>
      <c r="O167" s="92">
        <f t="shared" ca="1" si="38"/>
        <v>380.90261282660333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21050</v>
      </c>
      <c r="M168" s="497">
        <f ca="1">M169+M170</f>
        <v>80180</v>
      </c>
      <c r="N168" s="497">
        <f ca="1">N169+N170</f>
        <v>80180</v>
      </c>
      <c r="O168" s="497">
        <f t="shared" ca="1" si="38"/>
        <v>380.90261282660333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IFERROR(__xludf.DUMMYFUNCTION("IMPORTRANGE(""https://docs.google.com/spreadsheets/d/1MeEWN-I1oV_STSDYn1IFDPWt_1FKiwhDph83XaGc0o0/edit?usp=sharing"",""งบพรบ!CE84"")"),21050)</f>
        <v>21050</v>
      </c>
      <c r="M170" s="92">
        <f ca="1">IFERROR(__xludf.DUMMYFUNCTION("IMPORTRANGE(""https://docs.google.com/spreadsheets/d/1MeEWN-I1oV_STSDYn1IFDPWt_1FKiwhDph83XaGc0o0/edit?usp=sharing"",""งบพรบ!CJ84"")"),80180)</f>
        <v>80180</v>
      </c>
      <c r="N170" s="92">
        <f ca="1">IFERROR(__xludf.DUMMYFUNCTION("IMPORTRANGE(""https://docs.google.com/spreadsheets/d/1MeEWN-I1oV_STSDYn1IFDPWt_1FKiwhDph83XaGc0o0/edit?usp=sharing"",""งบพรบ!CL84"")"),80180)</f>
        <v>80180</v>
      </c>
      <c r="O170" s="92">
        <f t="shared" ca="1" si="38"/>
        <v>380.90261282660333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IFERROR(__xludf.DUMMYFUNCTION("IMPORTRANGE(""https://docs.google.com/spreadsheets/d/1MeEWN-I1oV_STSDYn1IFDPWt_1FKiwhDph83XaGc0o0/edit?usp=sharing"",""งบพรบ!CH84"")"),0)</f>
        <v>0</v>
      </c>
      <c r="M173" s="92">
        <f ca="1">IFERROR(__xludf.DUMMYFUNCTION("IMPORTRANGE(""https://docs.google.com/spreadsheets/d/1MeEWN-I1oV_STSDYn1IFDPWt_1FKiwhDph83XaGc0o0/edit?usp=sharing"",""งบพรบ!CK84"")"),0)</f>
        <v>0</v>
      </c>
      <c r="N173" s="92">
        <f ca="1">IFERROR(__xludf.DUMMYFUNCTION("IMPORTRANGE(""https://docs.google.com/spreadsheets/d/1MeEWN-I1oV_STSDYn1IFDPWt_1FKiwhDph83XaGc0o0/edit?usp=sharing"",""งบพรบ!CM84"")"),0)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10</v>
      </c>
      <c r="J174" s="260">
        <f>J176</f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47" t="s">
        <v>38</v>
      </c>
      <c r="E175" s="172"/>
      <c r="F175" s="172"/>
      <c r="G175" s="173"/>
      <c r="H175" s="761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5" t="s">
        <v>85</v>
      </c>
      <c r="E176" s="177"/>
      <c r="F176" s="177"/>
      <c r="G176" s="178"/>
      <c r="H176" s="622" t="s">
        <v>35</v>
      </c>
      <c r="I176" s="269">
        <f ca="1">IFERROR(__xludf.DUMMYFUNCTION("IMPORTRANGE(""https://docs.google.com/spreadsheets/d/1QqKyyYR6Q21VydFLVH3TRQUabQu_ym0Zz7PgGX0-kHA/edit?usp=sharing"",""แผน!Y84"")"),10)</f>
        <v>10</v>
      </c>
      <c r="J176" s="214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61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46" t="s">
        <v>17</v>
      </c>
      <c r="E181" s="147"/>
      <c r="F181" s="147"/>
      <c r="G181" s="150"/>
      <c r="H181" s="151" t="s">
        <v>12</v>
      </c>
      <c r="I181" s="420"/>
      <c r="J181" s="420"/>
      <c r="K181" s="153"/>
      <c r="L181" s="154">
        <f ca="1">L182+L183</f>
        <v>25800</v>
      </c>
      <c r="M181" s="154">
        <f ca="1">M182+M183</f>
        <v>25800</v>
      </c>
      <c r="N181" s="154">
        <f ca="1">N182+N183</f>
        <v>25800</v>
      </c>
      <c r="O181" s="154">
        <f t="shared" ref="O181:O189" ca="1" si="41">IF(L181&gt;0,N181*100/L181,0)</f>
        <v>100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6"/>
      <c r="J182" s="616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6"/>
      <c r="J183" s="616"/>
      <c r="K183" s="92"/>
      <c r="L183" s="92">
        <f t="shared" ca="1" si="43"/>
        <v>25800</v>
      </c>
      <c r="M183" s="92">
        <f t="shared" ca="1" si="43"/>
        <v>25800</v>
      </c>
      <c r="N183" s="92">
        <f t="shared" ca="1" si="43"/>
        <v>25800</v>
      </c>
      <c r="O183" s="92">
        <f t="shared" ca="1" si="41"/>
        <v>100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25800</v>
      </c>
      <c r="M184" s="497">
        <f ca="1">M185+M186</f>
        <v>25800</v>
      </c>
      <c r="N184" s="497">
        <f ca="1">N185+N186</f>
        <v>25800</v>
      </c>
      <c r="O184" s="497">
        <f t="shared" ca="1" si="41"/>
        <v>100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IFERROR(__xludf.DUMMYFUNCTION("IMPORTRANGE(""https://docs.google.com/spreadsheets/d/1MeEWN-I1oV_STSDYn1IFDPWt_1FKiwhDph83XaGc0o0/edit?usp=sharing"",""งบพรบ!CO84"")"),25800)</f>
        <v>25800</v>
      </c>
      <c r="M186" s="92">
        <f ca="1">IFERROR(__xludf.DUMMYFUNCTION("IMPORTRANGE(""https://docs.google.com/spreadsheets/d/1MeEWN-I1oV_STSDYn1IFDPWt_1FKiwhDph83XaGc0o0/edit?usp=sharing"",""งบพรบ!CT84"")"),25800)</f>
        <v>25800</v>
      </c>
      <c r="N186" s="92">
        <f ca="1">IFERROR(__xludf.DUMMYFUNCTION("IMPORTRANGE(""https://docs.google.com/spreadsheets/d/1MeEWN-I1oV_STSDYn1IFDPWt_1FKiwhDph83XaGc0o0/edit?usp=sharing"",""งบพรบ!CV84"")"),25800)</f>
        <v>25800</v>
      </c>
      <c r="O186" s="92">
        <f t="shared" ca="1" si="41"/>
        <v>100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IFERROR(__xludf.DUMMYFUNCTION("IMPORTRANGE(""https://docs.google.com/spreadsheets/d/1MeEWN-I1oV_STSDYn1IFDPWt_1FKiwhDph83XaGc0o0/edit?usp=sharing"",""งบพรบ!CR84"")"),0)</f>
        <v>0</v>
      </c>
      <c r="M189" s="92">
        <f ca="1">IFERROR(__xludf.DUMMYFUNCTION("IMPORTRANGE(""https://docs.google.com/spreadsheets/d/1MeEWN-I1oV_STSDYn1IFDPWt_1FKiwhDph83XaGc0o0/edit?usp=sharing"",""งบพรบ!CU84"")"),0)</f>
        <v>0</v>
      </c>
      <c r="N189" s="92">
        <f ca="1">IFERROR(__xludf.DUMMYFUNCTION("IMPORTRANGE(""https://docs.google.com/spreadsheets/d/1MeEWN-I1oV_STSDYn1IFDPWt_1FKiwhDph83XaGc0o0/edit?usp=sharing"",""งบพรบ!CW84"")"),0)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54" t="s">
        <v>17</v>
      </c>
      <c r="E191" s="147"/>
      <c r="F191" s="147"/>
      <c r="G191" s="150"/>
      <c r="H191" s="274" t="s">
        <v>12</v>
      </c>
      <c r="I191" s="420"/>
      <c r="J191" s="420"/>
      <c r="K191" s="153"/>
      <c r="L191" s="154">
        <f ca="1">IFERROR(__xludf.DUMMYFUNCTION("IMPORTRANGE(""https://docs.google.com/spreadsheets/d/1QqKyyYR6Q21VydFLVH3TRQUabQu_ym0Zz7PgGX0-kHA/edit?usp=sharing"",""แผน!Z84"")"),6000)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47" t="s">
        <v>38</v>
      </c>
      <c r="E192" s="172"/>
      <c r="F192" s="172"/>
      <c r="G192" s="173"/>
      <c r="H192" s="761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7" t="s">
        <v>91</v>
      </c>
      <c r="E193" s="177"/>
      <c r="F193" s="177"/>
      <c r="G193" s="178"/>
      <c r="H193" s="763" t="s">
        <v>90</v>
      </c>
      <c r="I193" s="269">
        <f ca="1">IFERROR(__xludf.DUMMYFUNCTION("IMPORTRANGE(""https://docs.google.com/spreadsheets/d/1QqKyyYR6Q21VydFLVH3TRQUabQu_ym0Zz7PgGX0-kHA/edit?usp=sharing"",""แผน!AC84"")"),4)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7" t="s">
        <v>92</v>
      </c>
      <c r="E194" s="177"/>
      <c r="F194" s="177"/>
      <c r="G194" s="178"/>
      <c r="H194" s="276" t="s">
        <v>35</v>
      </c>
      <c r="I194" s="269"/>
      <c r="J194" s="269">
        <f>J195+J196</f>
        <v>176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7" t="s">
        <v>93</v>
      </c>
      <c r="F195" s="177"/>
      <c r="G195" s="178"/>
      <c r="H195" s="276" t="s">
        <v>35</v>
      </c>
      <c r="I195" s="269"/>
      <c r="J195" s="214">
        <v>176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7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1</v>
      </c>
      <c r="J197" s="271">
        <f>J204</f>
        <v>1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54" t="s">
        <v>17</v>
      </c>
      <c r="E198" s="147"/>
      <c r="F198" s="147"/>
      <c r="G198" s="150"/>
      <c r="H198" s="274" t="s">
        <v>12</v>
      </c>
      <c r="I198" s="419"/>
      <c r="J198" s="419"/>
      <c r="K198" s="279"/>
      <c r="L198" s="154">
        <f ca="1">L199+L200+L201+L202</f>
        <v>13000</v>
      </c>
      <c r="M198" s="154"/>
      <c r="N198" s="154">
        <f>N199+N200+N201+N202</f>
        <v>13000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IFERROR(__xludf.DUMMYFUNCTION("IMPORTRANGE(""https://docs.google.com/spreadsheets/d/1QqKyyYR6Q21VydFLVH3TRQUabQu_ym0Zz7PgGX0-kHA/edit?usp=sharing"",""แผน!AE84"")"),1000)</f>
        <v>1000</v>
      </c>
      <c r="M199" s="497"/>
      <c r="N199" s="826">
        <v>1000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3"/>
      <c r="B200" s="280"/>
      <c r="C200" s="210"/>
      <c r="D200" s="281" t="s">
        <v>98</v>
      </c>
      <c r="E200" s="32"/>
      <c r="F200" s="32"/>
      <c r="G200" s="34"/>
      <c r="H200" s="622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IFERROR(__xludf.DUMMYFUNCTION("IMPORTRANGE(""https://docs.google.com/spreadsheets/d/1QqKyyYR6Q21VydFLVH3TRQUabQu_ym0Zz7PgGX0-kHA/edit?usp=sharing"",""แผน!AF84"")"),8000)</f>
        <v>8000</v>
      </c>
      <c r="M200" s="497"/>
      <c r="N200" s="826">
        <v>8000</v>
      </c>
      <c r="O200" s="497"/>
      <c r="P200" s="497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2"/>
      <c r="F201" s="32"/>
      <c r="G201" s="34"/>
      <c r="H201" s="622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IFERROR(__xludf.DUMMYFUNCTION("IMPORTRANGE(""https://docs.google.com/spreadsheets/d/1QqKyyYR6Q21VydFLVH3TRQUabQu_ym0Zz7PgGX0-kHA/edit?usp=sharing"",""แผน!AG84"")"),4000)</f>
        <v>4000</v>
      </c>
      <c r="M201" s="497"/>
      <c r="N201" s="826">
        <v>4000</v>
      </c>
      <c r="O201" s="497"/>
      <c r="P201" s="497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2"/>
      <c r="F202" s="32"/>
      <c r="G202" s="34"/>
      <c r="H202" s="622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IFERROR(__xludf.DUMMYFUNCTION("IMPORTRANGE(""https://docs.google.com/spreadsheets/d/1QqKyyYR6Q21VydFLVH3TRQUabQu_ym0Zz7PgGX0-kHA/edit?usp=sharing"",""แผน!AH84"")"),0)</f>
        <v>0</v>
      </c>
      <c r="M202" s="497"/>
      <c r="N202" s="826">
        <v>0</v>
      </c>
      <c r="O202" s="497"/>
      <c r="P202" s="497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69"/>
      <c r="B203" s="170"/>
      <c r="C203" s="210" t="s">
        <v>16</v>
      </c>
      <c r="D203" s="847" t="s">
        <v>38</v>
      </c>
      <c r="E203" s="172"/>
      <c r="F203" s="172"/>
      <c r="G203" s="173"/>
      <c r="H203" s="761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61" t="s">
        <v>96</v>
      </c>
      <c r="I204" s="269">
        <f ca="1">IFERROR(__xludf.DUMMYFUNCTION("IMPORTRANGE(""https://docs.google.com/spreadsheets/d/1QqKyyYR6Q21VydFLVH3TRQUabQu_ym0Zz7PgGX0-kHA/edit?usp=sharing"",""แผน!AI84"")"),1)</f>
        <v>1</v>
      </c>
      <c r="J204" s="214">
        <v>1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7" t="s">
        <v>59</v>
      </c>
      <c r="E205" s="177"/>
      <c r="F205" s="177"/>
      <c r="G205" s="178"/>
      <c r="H205" s="761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31" t="s">
        <v>102</v>
      </c>
      <c r="F206" s="286"/>
      <c r="G206" s="287"/>
      <c r="H206" s="288" t="s">
        <v>96</v>
      </c>
      <c r="I206" s="269">
        <v>1</v>
      </c>
      <c r="J206" s="214">
        <v>1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7"/>
      <c r="E207" s="447" t="s">
        <v>103</v>
      </c>
      <c r="F207" s="177"/>
      <c r="G207" s="177"/>
      <c r="H207" s="289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54" t="s">
        <v>17</v>
      </c>
      <c r="E209" s="147"/>
      <c r="F209" s="147"/>
      <c r="G209" s="150"/>
      <c r="H209" s="274" t="s">
        <v>12</v>
      </c>
      <c r="I209" s="419"/>
      <c r="J209" s="419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IFERROR(__xludf.DUMMYFUNCTION("IMPORTRANGE(""https://docs.google.com/spreadsheets/d/1QqKyyYR6Q21VydFLVH3TRQUabQu_ym0Zz7PgGX0-kHA/edit?usp=sharing"",""แผน!AK84"")"),0)</f>
        <v>0</v>
      </c>
      <c r="M210" s="497"/>
      <c r="N210" s="826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3"/>
      <c r="B211" s="280"/>
      <c r="C211" s="291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IFERROR(__xludf.DUMMYFUNCTION("IMPORTRANGE(""https://docs.google.com/spreadsheets/d/1QqKyyYR6Q21VydFLVH3TRQUabQu_ym0Zz7PgGX0-kHA/edit?usp=sharing"",""แผน!AL84"")"),0)</f>
        <v>0</v>
      </c>
      <c r="M211" s="497"/>
      <c r="N211" s="826">
        <v>0</v>
      </c>
      <c r="O211" s="497"/>
      <c r="P211" s="497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IFERROR(__xludf.DUMMYFUNCTION("IMPORTRANGE(""https://docs.google.com/spreadsheets/d/1QqKyyYR6Q21VydFLVH3TRQUabQu_ym0Zz7PgGX0-kHA/edit?usp=sharing"",""แผน!AM84"")"),0)</f>
        <v>0</v>
      </c>
      <c r="M212" s="497"/>
      <c r="N212" s="826">
        <v>0</v>
      </c>
      <c r="O212" s="497"/>
      <c r="P212" s="497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69"/>
      <c r="B213" s="170"/>
      <c r="C213" s="291" t="s">
        <v>16</v>
      </c>
      <c r="D213" s="847" t="s">
        <v>38</v>
      </c>
      <c r="E213" s="172"/>
      <c r="F213" s="172"/>
      <c r="G213" s="173"/>
      <c r="H213" s="761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61" t="s">
        <v>96</v>
      </c>
      <c r="I214" s="269">
        <f ca="1">IFERROR(__xludf.DUMMYFUNCTION("IMPORTRANGE(""https://docs.google.com/spreadsheets/d/1QqKyyYR6Q21VydFLVH3TRQUabQu_ym0Zz7PgGX0-kHA/edit?usp=sharing"",""แผน!AN84"")"),0)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61" t="s">
        <v>96</v>
      </c>
      <c r="I215" s="269">
        <f ca="1">IFERROR(__xludf.DUMMYFUNCTION("IMPORTRANGE(""https://docs.google.com/spreadsheets/d/1QqKyyYR6Q21VydFLVH3TRQUabQu_ym0Zz7PgGX0-kHA/edit?usp=sharing"",""แผน!AN84"")"),0)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ca="1">I224</f>
        <v>12000</v>
      </c>
      <c r="J216" s="271">
        <f>J224</f>
        <v>12000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54" t="s">
        <v>17</v>
      </c>
      <c r="E217" s="147"/>
      <c r="F217" s="147"/>
      <c r="G217" s="150"/>
      <c r="H217" s="274" t="s">
        <v>12</v>
      </c>
      <c r="I217" s="419"/>
      <c r="J217" s="419"/>
      <c r="K217" s="279"/>
      <c r="L217" s="154">
        <f ca="1">L218+L219+L220</f>
        <v>6800</v>
      </c>
      <c r="M217" s="154"/>
      <c r="N217" s="154">
        <f>N218+N219+N220</f>
        <v>6800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IFERROR(__xludf.DUMMYFUNCTION("IMPORTRANGE(""https://docs.google.com/spreadsheets/d/1QqKyyYR6Q21VydFLVH3TRQUabQu_ym0Zz7PgGX0-kHA/edit?usp=sharing"",""แผน!AP84"")"),3000)</f>
        <v>3000</v>
      </c>
      <c r="M218" s="497"/>
      <c r="N218" s="826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3"/>
      <c r="B219" s="280"/>
      <c r="C219" s="291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IFERROR(__xludf.DUMMYFUNCTION("IMPORTRANGE(""https://docs.google.com/spreadsheets/d/1QqKyyYR6Q21VydFLVH3TRQUabQu_ym0Zz7PgGX0-kHA/edit?usp=sharing"",""แผน!AQ84"")"),3800)</f>
        <v>3800</v>
      </c>
      <c r="M219" s="497"/>
      <c r="N219" s="826">
        <v>3800</v>
      </c>
      <c r="O219" s="497"/>
      <c r="P219" s="497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IFERROR(__xludf.DUMMYFUNCTION("IMPORTRANGE(""https://docs.google.com/spreadsheets/d/1QqKyyYR6Q21VydFLVH3TRQUabQu_ym0Zz7PgGX0-kHA/edit?usp=sharing"",""แผน!AR84"")"),0)</f>
        <v>0</v>
      </c>
      <c r="M220" s="497"/>
      <c r="N220" s="826">
        <v>0</v>
      </c>
      <c r="O220" s="497"/>
      <c r="P220" s="497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69"/>
      <c r="B221" s="170"/>
      <c r="C221" s="291" t="s">
        <v>16</v>
      </c>
      <c r="D221" s="847" t="s">
        <v>38</v>
      </c>
      <c r="E221" s="172"/>
      <c r="F221" s="172"/>
      <c r="G221" s="173"/>
      <c r="H221" s="761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61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63" t="s">
        <v>109</v>
      </c>
      <c r="I223" s="269">
        <f ca="1">IFERROR(__xludf.DUMMYFUNCTION("IMPORTRANGE(""https://docs.google.com/spreadsheets/d/1QqKyyYR6Q21VydFLVH3TRQUabQu_ym0Zz7PgGX0-kHA/edit?usp=sharing"",""แผน!AT84"")"),12000)</f>
        <v>12000</v>
      </c>
      <c r="J223" s="214">
        <v>12000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63" t="s">
        <v>109</v>
      </c>
      <c r="I224" s="269">
        <f ca="1">IFERROR(__xludf.DUMMYFUNCTION("IMPORTRANGE(""https://docs.google.com/spreadsheets/d/1QqKyyYR6Q21VydFLVH3TRQUabQu_ym0Zz7PgGX0-kHA/edit?usp=sharing"",""แผน!AT84"")"),12000)</f>
        <v>12000</v>
      </c>
      <c r="J224" s="214">
        <v>12000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63" t="s">
        <v>35</v>
      </c>
      <c r="I225" s="269">
        <f ca="1">IFERROR(__xludf.DUMMYFUNCTION("IMPORTRANGE(""https://docs.google.com/spreadsheets/d/1QqKyyYR6Q21VydFLVH3TRQUabQu_ym0Zz7PgGX0-kHA/edit?usp=sharing"",""แผน!AS84"")"),0)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0</v>
      </c>
      <c r="J226" s="344">
        <f>J237+J248</f>
        <v>0</v>
      </c>
      <c r="K226" s="345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0</v>
      </c>
      <c r="M227" s="355"/>
      <c r="N227" s="355">
        <f>N238+N249</f>
        <v>0</v>
      </c>
      <c r="O227" s="855"/>
      <c r="P227" s="85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6"/>
      <c r="J229" s="616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6"/>
      <c r="J230" s="616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6"/>
      <c r="J231" s="616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6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6">
        <f ca="1">I244+I255</f>
        <v>0</v>
      </c>
      <c r="J233" s="616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6"/>
      <c r="J234" s="616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6">
        <f>I246+I257</f>
        <v>0</v>
      </c>
      <c r="J235" s="616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6">
        <f>I247+I258</f>
        <v>0</v>
      </c>
      <c r="J236" s="616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270" t="s">
        <v>332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46" t="s">
        <v>17</v>
      </c>
      <c r="E238" s="147"/>
      <c r="F238" s="147"/>
      <c r="G238" s="150"/>
      <c r="H238" s="274" t="s">
        <v>12</v>
      </c>
      <c r="I238" s="419"/>
      <c r="J238" s="419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IFERROR(__xludf.DUMMYFUNCTION("IMPORTRANGE(""https://docs.google.com/spreadsheets/d/1QqKyyYR6Q21VydFLVH3TRQUabQu_ym0Zz7PgGX0-kHA/edit?usp=sharing"",""แผน!AV84"")"),0)</f>
        <v>0</v>
      </c>
      <c r="M239" s="321"/>
      <c r="N239" s="853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IFERROR(__xludf.DUMMYFUNCTION("IMPORTRANGE(""https://docs.google.com/spreadsheets/d/1QqKyyYR6Q21VydFLVH3TRQUabQu_ym0Zz7PgGX0-kHA/edit?usp=sharing"",""แผน!AW84"")"),0)</f>
        <v>0</v>
      </c>
      <c r="M240" s="321"/>
      <c r="N240" s="853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IFERROR(__xludf.DUMMYFUNCTION("IMPORTRANGE(""https://docs.google.com/spreadsheets/d/1QqKyyYR6Q21VydFLVH3TRQUabQu_ym0Zz7PgGX0-kHA/edit?usp=sharing"",""แผน!AX84"")"),0)</f>
        <v>0</v>
      </c>
      <c r="M241" s="321"/>
      <c r="N241" s="853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IFERROR(__xludf.DUMMYFUNCTION("IMPORTRANGE(""https://docs.google.com/spreadsheets/d/1QqKyyYR6Q21VydFLVH3TRQUabQu_ym0Zz7PgGX0-kHA/edit?usp=sharing"",""แผน!AY84"")"),0)</f>
        <v>0</v>
      </c>
      <c r="M242" s="321"/>
      <c r="N242" s="853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1" t="s">
        <v>16</v>
      </c>
      <c r="D243" s="847" t="s">
        <v>38</v>
      </c>
      <c r="E243" s="172"/>
      <c r="F243" s="172"/>
      <c r="G243" s="173"/>
      <c r="H243" s="761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47" t="s">
        <v>117</v>
      </c>
      <c r="E244" s="177"/>
      <c r="F244" s="177"/>
      <c r="G244" s="178"/>
      <c r="H244" s="763" t="s">
        <v>35</v>
      </c>
      <c r="I244" s="269">
        <f ca="1">IFERROR(__xludf.DUMMYFUNCTION("IMPORTRANGE(""https://docs.google.com/spreadsheets/d/1QqKyyYR6Q21VydFLVH3TRQUabQu_ym0Zz7PgGX0-kHA/edit?usp=sharing"",""แผน!BE84"")"),0)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852" t="s">
        <v>43</v>
      </c>
      <c r="E245" s="177"/>
      <c r="F245" s="177"/>
      <c r="G245" s="178"/>
      <c r="H245" s="763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175" t="s">
        <v>118</v>
      </c>
      <c r="F246" s="177"/>
      <c r="G246" s="178"/>
      <c r="H246" s="763" t="s">
        <v>35</v>
      </c>
      <c r="I246" s="269"/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763" t="s">
        <v>66</v>
      </c>
      <c r="I247" s="269"/>
      <c r="J247" s="214">
        <v>0</v>
      </c>
      <c r="K247" s="497">
        <f>IF(I247&gt;0,J247*100/I247,0)</f>
        <v>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54" t="s">
        <v>17</v>
      </c>
      <c r="E249" s="147"/>
      <c r="F249" s="147"/>
      <c r="G249" s="150"/>
      <c r="H249" s="274" t="s">
        <v>12</v>
      </c>
      <c r="I249" s="419"/>
      <c r="J249" s="419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IFERROR(__xludf.DUMMYFUNCTION("IMPORTRANGE(""https://docs.google.com/spreadsheets/d/1QqKyyYR6Q21VydFLVH3TRQUabQu_ym0Zz7PgGX0-kHA/edit?usp=sharing"",""แผน!AZ84"")"),0)</f>
        <v>0</v>
      </c>
      <c r="M250" s="321"/>
      <c r="N250" s="853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IFERROR(__xludf.DUMMYFUNCTION("IMPORTRANGE(""https://docs.google.com/spreadsheets/d/1QqKyyYR6Q21VydFLVH3TRQUabQu_ym0Zz7PgGX0-kHA/edit?usp=sharing"",""แผน!BA84"")"),0)</f>
        <v>0</v>
      </c>
      <c r="M251" s="321"/>
      <c r="N251" s="853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IFERROR(__xludf.DUMMYFUNCTION("IMPORTRANGE(""https://docs.google.com/spreadsheets/d/1QqKyyYR6Q21VydFLVH3TRQUabQu_ym0Zz7PgGX0-kHA/edit?usp=sharing"",""แผน!BB84"")"),0)</f>
        <v>0</v>
      </c>
      <c r="M252" s="321"/>
      <c r="N252" s="853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IFERROR(__xludf.DUMMYFUNCTION("IMPORTRANGE(""https://docs.google.com/spreadsheets/d/1QqKyyYR6Q21VydFLVH3TRQUabQu_ym0Zz7PgGX0-kHA/edit?usp=sharing"",""แผน!BC84"")"),0)</f>
        <v>0</v>
      </c>
      <c r="M253" s="321"/>
      <c r="N253" s="853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1" t="s">
        <v>16</v>
      </c>
      <c r="D254" s="847" t="s">
        <v>38</v>
      </c>
      <c r="E254" s="172"/>
      <c r="F254" s="172"/>
      <c r="G254" s="173"/>
      <c r="H254" s="761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7" t="s">
        <v>117</v>
      </c>
      <c r="E255" s="177"/>
      <c r="F255" s="177"/>
      <c r="G255" s="178"/>
      <c r="H255" s="763" t="s">
        <v>35</v>
      </c>
      <c r="I255" s="269">
        <f ca="1">IFERROR(__xludf.DUMMYFUNCTION("IMPORTRANGE(""https://docs.google.com/spreadsheets/d/1QqKyyYR6Q21VydFLVH3TRQUabQu_ym0Zz7PgGX0-kHA/edit?usp=sharing"",""แผน!BF84"")"),0)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52" t="s">
        <v>43</v>
      </c>
      <c r="E256" s="177"/>
      <c r="F256" s="177"/>
      <c r="G256" s="178"/>
      <c r="H256" s="763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63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63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16</v>
      </c>
      <c r="J260" s="252">
        <f>J271</f>
        <v>16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46" t="s">
        <v>17</v>
      </c>
      <c r="E261" s="147"/>
      <c r="F261" s="147"/>
      <c r="G261" s="150"/>
      <c r="H261" s="151" t="s">
        <v>12</v>
      </c>
      <c r="I261" s="420"/>
      <c r="J261" s="420"/>
      <c r="K261" s="153"/>
      <c r="L261" s="154">
        <f ca="1">L262+L263</f>
        <v>164200</v>
      </c>
      <c r="M261" s="154">
        <f ca="1">M262+M263</f>
        <v>164200</v>
      </c>
      <c r="N261" s="154">
        <f ca="1">N262+N263</f>
        <v>164200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6"/>
      <c r="J262" s="616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6"/>
      <c r="J263" s="616"/>
      <c r="K263" s="92"/>
      <c r="L263" s="92">
        <f t="shared" ca="1" si="46"/>
        <v>164200</v>
      </c>
      <c r="M263" s="92">
        <f t="shared" ca="1" si="46"/>
        <v>164200</v>
      </c>
      <c r="N263" s="92">
        <f t="shared" ca="1" si="46"/>
        <v>164200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164200</v>
      </c>
      <c r="M264" s="497">
        <f ca="1">M265+M266</f>
        <v>164200</v>
      </c>
      <c r="N264" s="497">
        <f ca="1">N265+N266</f>
        <v>164200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IFERROR(__xludf.DUMMYFUNCTION("IMPORTRANGE(""https://docs.google.com/spreadsheets/d/1MeEWN-I1oV_STSDYn1IFDPWt_1FKiwhDph83XaGc0o0/edit?usp=sharing"",""งบพรบ!CY84"")"),164200)</f>
        <v>164200</v>
      </c>
      <c r="M266" s="92">
        <f ca="1">IFERROR(__xludf.DUMMYFUNCTION("IMPORTRANGE(""https://docs.google.com/spreadsheets/d/1MeEWN-I1oV_STSDYn1IFDPWt_1FKiwhDph83XaGc0o0/edit?usp=sharing"",""งบพรบ!DD84"")"),164200)</f>
        <v>164200</v>
      </c>
      <c r="N266" s="92">
        <f ca="1">IFERROR(__xludf.DUMMYFUNCTION("IMPORTRANGE(""https://docs.google.com/spreadsheets/d/1MeEWN-I1oV_STSDYn1IFDPWt_1FKiwhDph83XaGc0o0/edit?usp=sharing"",""งบพรบ!DF84"")"),164200)</f>
        <v>164200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IFERROR(__xludf.DUMMYFUNCTION("IMPORTRANGE(""https://docs.google.com/spreadsheets/d/1MeEWN-I1oV_STSDYn1IFDPWt_1FKiwhDph83XaGc0o0/edit?usp=sharing"",""งบพรบ!DB84"")"),0)</f>
        <v>0</v>
      </c>
      <c r="M269" s="92">
        <f ca="1">IFERROR(__xludf.DUMMYFUNCTION("IMPORTRANGE(""https://docs.google.com/spreadsheets/d/1MeEWN-I1oV_STSDYn1IFDPWt_1FKiwhDph83XaGc0o0/edit?usp=sharing"",""งบพรบ!DE84"")"),0)</f>
        <v>0</v>
      </c>
      <c r="N269" s="92">
        <f ca="1">IFERROR(__xludf.DUMMYFUNCTION("IMPORTRANGE(""https://docs.google.com/spreadsheets/d/1MeEWN-I1oV_STSDYn1IFDPWt_1FKiwhDph83XaGc0o0/edit?usp=sharing"",""งบพรบ!DG84"")"),0)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47" t="s">
        <v>38</v>
      </c>
      <c r="E270" s="172"/>
      <c r="F270" s="172"/>
      <c r="G270" s="173"/>
      <c r="H270" s="761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IFERROR(__xludf.DUMMYFUNCTION("IMPORTRANGE(""https://docs.google.com/spreadsheets/d/1QqKyyYR6Q21VydFLVH3TRQUabQu_ym0Zz7PgGX0-kHA/edit?usp=sharing"",""แผน!EA84"")"),16)</f>
        <v>16</v>
      </c>
      <c r="J271" s="214">
        <v>16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5">
        <v>0</v>
      </c>
      <c r="J272" s="505">
        <v>0</v>
      </c>
      <c r="K272" s="384">
        <v>0</v>
      </c>
      <c r="L272" s="384"/>
      <c r="M272" s="384"/>
      <c r="N272" s="384"/>
      <c r="O272" s="384"/>
      <c r="P272" s="384"/>
    </row>
    <row r="273" spans="1:26" ht="19.5" hidden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9">
        <f ca="1">I287</f>
        <v>0</v>
      </c>
      <c r="J276" s="409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46" t="s">
        <v>17</v>
      </c>
      <c r="E277" s="147"/>
      <c r="F277" s="147"/>
      <c r="G277" s="150"/>
      <c r="H277" s="151" t="s">
        <v>12</v>
      </c>
      <c r="I277" s="420"/>
      <c r="J277" s="420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6"/>
      <c r="J278" s="616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6"/>
      <c r="J279" s="616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IFERROR(__xludf.DUMMYFUNCTION("IMPORTRANGE(""https://docs.google.com/spreadsheets/d/1MeEWN-I1oV_STSDYn1IFDPWt_1FKiwhDph83XaGc0o0/edit?usp=sharing"",""งบพรบ!DI84"")"),0)</f>
        <v>0</v>
      </c>
      <c r="M282" s="92">
        <f ca="1">IFERROR(__xludf.DUMMYFUNCTION("IMPORTRANGE(""https://docs.google.com/spreadsheets/d/1MeEWN-I1oV_STSDYn1IFDPWt_1FKiwhDph83XaGc0o0/edit?usp=sharing"",""งบพรบ!DN84"")"),0)</f>
        <v>0</v>
      </c>
      <c r="N282" s="92">
        <f ca="1">IFERROR(__xludf.DUMMYFUNCTION("IMPORTRANGE(""https://docs.google.com/spreadsheets/d/1MeEWN-I1oV_STSDYn1IFDPWt_1FKiwhDph83XaGc0o0/edit?usp=sharing"",""งบพรบ!DP84"")"),0)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IFERROR(__xludf.DUMMYFUNCTION("IMPORTRANGE(""https://docs.google.com/spreadsheets/d/1MeEWN-I1oV_STSDYn1IFDPWt_1FKiwhDph83XaGc0o0/edit?usp=sharing"",""งบพรบ!DL84"")"),0)</f>
        <v>0</v>
      </c>
      <c r="M285" s="92">
        <f ca="1">IFERROR(__xludf.DUMMYFUNCTION("IMPORTRANGE(""https://docs.google.com/spreadsheets/d/1MeEWN-I1oV_STSDYn1IFDPWt_1FKiwhDph83XaGc0o0/edit?usp=sharing"",""งบพรบ!DO84"")"),0)</f>
        <v>0</v>
      </c>
      <c r="N285" s="92">
        <f ca="1">IFERROR(__xludf.DUMMYFUNCTION("IMPORTRANGE(""https://docs.google.com/spreadsheets/d/1MeEWN-I1oV_STSDYn1IFDPWt_1FKiwhDph83XaGc0o0/edit?usp=sharing"",""งบพรบ!DQ84"")"),0)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47" t="s">
        <v>38</v>
      </c>
      <c r="E286" s="172"/>
      <c r="F286" s="172"/>
      <c r="G286" s="173"/>
      <c r="H286" s="761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5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IFERROR(__xludf.DUMMYFUNCTION("IMPORTRANGE(""https://docs.google.com/spreadsheets/d/1QqKyyYR6Q21VydFLVH3TRQUabQu_ym0Zz7PgGX0-kHA/edit?usp=sharing"",""แผน!EC84"")"),0)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5" t="s">
        <v>130</v>
      </c>
      <c r="E288" s="170"/>
      <c r="F288" s="177"/>
      <c r="G288" s="178"/>
      <c r="H288" s="179" t="s">
        <v>35</v>
      </c>
      <c r="I288" s="680">
        <f ca="1">IFERROR(__xludf.DUMMYFUNCTION("IMPORTRANGE(""https://docs.google.com/spreadsheets/d/1QqKyyYR6Q21VydFLVH3TRQUabQu_ym0Zz7PgGX0-kHA/edit?usp=sharing"",""แผน!EB84"")"),0)</f>
        <v>0</v>
      </c>
      <c r="J288" s="680">
        <f ca="1">IF(AND(J291&gt;=I288,J294&gt;=I288),J294,0)</f>
        <v>0</v>
      </c>
      <c r="K288" s="411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2"/>
      <c r="E289" s="413" t="s">
        <v>131</v>
      </c>
      <c r="F289" s="177"/>
      <c r="G289" s="178"/>
      <c r="H289" s="763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2"/>
      <c r="E290" s="625" t="s">
        <v>132</v>
      </c>
      <c r="F290" s="177"/>
      <c r="G290" s="178"/>
      <c r="H290" s="763" t="s">
        <v>35</v>
      </c>
      <c r="I290" s="183">
        <f ca="1">IFERROR(__xludf.DUMMYFUNCTION("IMPORTRANGE(""https://docs.google.com/spreadsheets/d/1QqKyyYR6Q21VydFLVH3TRQUabQu_ym0Zz7PgGX0-kHA/edit?usp=sharing"",""แผน!EB84"")"),0)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5" t="s">
        <v>336</v>
      </c>
      <c r="F291" s="177"/>
      <c r="G291" s="178"/>
      <c r="H291" s="763" t="s">
        <v>35</v>
      </c>
      <c r="I291" s="183">
        <f ca="1">IFERROR(__xludf.DUMMYFUNCTION("IMPORTRANGE(""https://docs.google.com/spreadsheets/d/1QqKyyYR6Q21VydFLVH3TRQUabQu_ym0Zz7PgGX0-kHA/edit?usp=sharing"",""แผน!EB84"")"),0)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4"/>
      <c r="B292" s="415"/>
      <c r="C292" s="415"/>
      <c r="D292" s="416"/>
      <c r="E292" s="417" t="s">
        <v>134</v>
      </c>
      <c r="F292" s="286"/>
      <c r="G292" s="287"/>
      <c r="H292" s="418"/>
      <c r="I292" s="419"/>
      <c r="J292" s="420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2"/>
      <c r="E293" s="625" t="s">
        <v>132</v>
      </c>
      <c r="F293" s="177"/>
      <c r="G293" s="178"/>
      <c r="H293" s="763" t="s">
        <v>35</v>
      </c>
      <c r="I293" s="183">
        <f ca="1">IFERROR(__xludf.DUMMYFUNCTION("IMPORTRANGE(""https://docs.google.com/spreadsheets/d/1QqKyyYR6Q21VydFLVH3TRQUabQu_ym0Zz7PgGX0-kHA/edit?usp=sharing"",""แผน!EB84"")"),0)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33" t="s">
        <v>336</v>
      </c>
      <c r="F294" s="380"/>
      <c r="G294" s="381"/>
      <c r="H294" s="422" t="s">
        <v>35</v>
      </c>
      <c r="I294" s="423">
        <f ca="1">IFERROR(__xludf.DUMMYFUNCTION("IMPORTRANGE(""https://docs.google.com/spreadsheets/d/1QqKyyYR6Q21VydFLVH3TRQUabQu_ym0Zz7PgGX0-kHA/edit?usp=sharing"",""แผน!EB84"")"),0)</f>
        <v>0</v>
      </c>
      <c r="J294" s="424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0</v>
      </c>
      <c r="J297" s="444">
        <f>J309</f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6"/>
      <c r="B298" s="147"/>
      <c r="C298" s="148" t="s">
        <v>16</v>
      </c>
      <c r="D298" s="846" t="s">
        <v>17</v>
      </c>
      <c r="E298" s="147"/>
      <c r="F298" s="147"/>
      <c r="G298" s="150"/>
      <c r="H298" s="151" t="s">
        <v>12</v>
      </c>
      <c r="I298" s="420"/>
      <c r="J298" s="420"/>
      <c r="K298" s="153"/>
      <c r="L298" s="154">
        <f ca="1">L299+L300</f>
        <v>0</v>
      </c>
      <c r="M298" s="154">
        <f ca="1">M299+M300</f>
        <v>0</v>
      </c>
      <c r="N298" s="154">
        <f ca="1">N299+N300</f>
        <v>0</v>
      </c>
      <c r="O298" s="154">
        <f t="shared" ref="O298:O306" ca="1" si="50">IF(L298&gt;0,N298*100/L298,0)</f>
        <v>0</v>
      </c>
      <c r="P298" s="154">
        <f t="shared" ref="P298:P306" ca="1" si="51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6"/>
      <c r="J299" s="616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6"/>
      <c r="J300" s="616"/>
      <c r="K300" s="92"/>
      <c r="L300" s="92">
        <f t="shared" ca="1" si="52"/>
        <v>0</v>
      </c>
      <c r="M300" s="92">
        <f t="shared" ca="1" si="52"/>
        <v>0</v>
      </c>
      <c r="N300" s="92">
        <f t="shared" ca="1" si="52"/>
        <v>0</v>
      </c>
      <c r="O300" s="92">
        <f t="shared" ca="1" si="50"/>
        <v>0</v>
      </c>
      <c r="P300" s="92">
        <f t="shared" ca="1" si="51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0</v>
      </c>
      <c r="M301" s="497">
        <f ca="1">M302+M303</f>
        <v>0</v>
      </c>
      <c r="N301" s="497">
        <f ca="1">N302+N303</f>
        <v>0</v>
      </c>
      <c r="O301" s="497">
        <f t="shared" ca="1" si="50"/>
        <v>0</v>
      </c>
      <c r="P301" s="497">
        <f t="shared" ca="1" si="51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IFERROR(__xludf.DUMMYFUNCTION("IMPORTRANGE(""https://docs.google.com/spreadsheets/d/1MeEWN-I1oV_STSDYn1IFDPWt_1FKiwhDph83XaGc0o0/edit?usp=sharing"",""งบพรบ!DS84"")"),0)</f>
        <v>0</v>
      </c>
      <c r="M303" s="92">
        <f ca="1">IFERROR(__xludf.DUMMYFUNCTION("IMPORTRANGE(""https://docs.google.com/spreadsheets/d/1MeEWN-I1oV_STSDYn1IFDPWt_1FKiwhDph83XaGc0o0/edit?usp=sharing"",""งบพรบ!DX84"")"),0)</f>
        <v>0</v>
      </c>
      <c r="N303" s="92">
        <f ca="1">IFERROR(__xludf.DUMMYFUNCTION("IMPORTRANGE(""https://docs.google.com/spreadsheets/d/1MeEWN-I1oV_STSDYn1IFDPWt_1FKiwhDph83XaGc0o0/edit?usp=sharing"",""งบพรบ!DZ84"")"),0)</f>
        <v>0</v>
      </c>
      <c r="O303" s="92">
        <f t="shared" ca="1" si="50"/>
        <v>0</v>
      </c>
      <c r="P303" s="92">
        <f t="shared" ca="1" si="51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IFERROR(__xludf.DUMMYFUNCTION("IMPORTRANGE(""https://docs.google.com/spreadsheets/d/1MeEWN-I1oV_STSDYn1IFDPWt_1FKiwhDph83XaGc0o0/edit?usp=sharing"",""งบพรบ!DV84"")"),0)</f>
        <v>0</v>
      </c>
      <c r="M306" s="92">
        <f ca="1">IFERROR(__xludf.DUMMYFUNCTION("IMPORTRANGE(""https://docs.google.com/spreadsheets/d/1MeEWN-I1oV_STSDYn1IFDPWt_1FKiwhDph83XaGc0o0/edit?usp=sharing"",""งบพรบ!DY84"")"),0)</f>
        <v>0</v>
      </c>
      <c r="N306" s="92">
        <f ca="1">IFERROR(__xludf.DUMMYFUNCTION("IMPORTRANGE(""https://docs.google.com/spreadsheets/d/1MeEWN-I1oV_STSDYn1IFDPWt_1FKiwhDph83XaGc0o0/edit?usp=sharing"",""งบพรบ!EA84"")"),0)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47" t="s">
        <v>38</v>
      </c>
      <c r="E307" s="172"/>
      <c r="F307" s="172"/>
      <c r="G307" s="173"/>
      <c r="H307" s="761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69"/>
      <c r="B308" s="170"/>
      <c r="C308" s="170"/>
      <c r="D308" s="447" t="s">
        <v>140</v>
      </c>
      <c r="E308" s="447"/>
      <c r="F308" s="447"/>
      <c r="G308" s="178"/>
      <c r="H308" s="763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69"/>
      <c r="B309" s="170"/>
      <c r="C309" s="170"/>
      <c r="D309" s="447" t="s">
        <v>141</v>
      </c>
      <c r="E309" s="447"/>
      <c r="F309" s="447"/>
      <c r="G309" s="178"/>
      <c r="H309" s="763" t="s">
        <v>35</v>
      </c>
      <c r="I309" s="269">
        <f ca="1">IFERROR(__xludf.DUMMYFUNCTION("IMPORTRANGE(""https://docs.google.com/spreadsheets/d/1QqKyyYR6Q21VydFLVH3TRQUabQu_ym0Zz7PgGX0-kHA/edit?usp=sharing"",""แผน!ED84"")"),0)</f>
        <v>0</v>
      </c>
      <c r="J309" s="214">
        <v>0</v>
      </c>
      <c r="K309" s="497">
        <f ca="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69"/>
      <c r="B310" s="170"/>
      <c r="C310" s="170"/>
      <c r="D310" s="447" t="s">
        <v>142</v>
      </c>
      <c r="E310" s="447"/>
      <c r="F310" s="447"/>
      <c r="G310" s="178"/>
      <c r="H310" s="763" t="s">
        <v>35</v>
      </c>
      <c r="I310" s="269">
        <f ca="1">IFERROR(__xludf.DUMMYFUNCTION("IMPORTRANGE(""https://docs.google.com/spreadsheets/d/1QqKyyYR6Q21VydFLVH3TRQUabQu_ym0Zz7PgGX0-kHA/edit?usp=sharing"",""แผน!ED84"")"),0)</f>
        <v>0</v>
      </c>
      <c r="J310" s="214">
        <v>0</v>
      </c>
      <c r="K310" s="497">
        <f ca="1">IF(I310&gt;0,J310*100/I310,0)</f>
        <v>0</v>
      </c>
      <c r="L310" s="497"/>
      <c r="M310" s="497"/>
      <c r="N310" s="497"/>
      <c r="O310" s="497"/>
      <c r="P310" s="497"/>
    </row>
    <row r="311" spans="1:26" ht="18.75" hidden="1">
      <c r="A311" s="169"/>
      <c r="B311" s="170"/>
      <c r="C311" s="170"/>
      <c r="D311" s="447" t="s">
        <v>59</v>
      </c>
      <c r="E311" s="447"/>
      <c r="F311" s="447"/>
      <c r="G311" s="178"/>
      <c r="H311" s="763" t="s">
        <v>35</v>
      </c>
      <c r="I311" s="269">
        <f ca="1">IFERROR(__xludf.DUMMYFUNCTION("IMPORTRANGE(""https://docs.google.com/spreadsheets/d/1QqKyyYR6Q21VydFLVH3TRQUabQu_ym0Zz7PgGX0-kHA/edit?usp=sharing"",""แผน!ED84"")"),0)</f>
        <v>0</v>
      </c>
      <c r="J311" s="214">
        <v>0</v>
      </c>
      <c r="K311" s="497">
        <f ca="1">IF(I311&gt;0,J311*100/I311,0)</f>
        <v>0</v>
      </c>
      <c r="L311" s="497"/>
      <c r="M311" s="497"/>
      <c r="N311" s="497"/>
      <c r="O311" s="497"/>
      <c r="P311" s="497"/>
    </row>
    <row r="312" spans="1:26" ht="18.75" hidden="1">
      <c r="A312" s="169"/>
      <c r="B312" s="170"/>
      <c r="C312" s="170"/>
      <c r="D312" s="447" t="s">
        <v>143</v>
      </c>
      <c r="E312" s="447"/>
      <c r="F312" s="447"/>
      <c r="G312" s="178"/>
      <c r="H312" s="763" t="s">
        <v>35</v>
      </c>
      <c r="I312" s="269">
        <f ca="1">IFERROR(__xludf.DUMMYFUNCTION("IMPORTRANGE(""https://docs.google.com/spreadsheets/d/1QqKyyYR6Q21VydFLVH3TRQUabQu_ym0Zz7PgGX0-kHA/edit?usp=sharing"",""แผน!EE84"")"),0)</f>
        <v>0</v>
      </c>
      <c r="J312" s="214">
        <v>0</v>
      </c>
      <c r="K312" s="497">
        <f ca="1">IF(I312&gt;0,J312*100/I312,0)</f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0</v>
      </c>
      <c r="J314" s="444">
        <f>J325</f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6"/>
      <c r="B315" s="147"/>
      <c r="C315" s="148" t="s">
        <v>16</v>
      </c>
      <c r="D315" s="846" t="s">
        <v>17</v>
      </c>
      <c r="E315" s="147"/>
      <c r="F315" s="147"/>
      <c r="G315" s="150"/>
      <c r="H315" s="151" t="s">
        <v>12</v>
      </c>
      <c r="I315" s="420"/>
      <c r="J315" s="420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6"/>
      <c r="J316" s="616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6"/>
      <c r="J317" s="616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IFERROR(__xludf.DUMMYFUNCTION("IMPORTRANGE(""https://docs.google.com/spreadsheets/d/1MeEWN-I1oV_STSDYn1IFDPWt_1FKiwhDph83XaGc0o0/edit?usp=sharing"",""งบพรบ!EC84"")"),0)</f>
        <v>0</v>
      </c>
      <c r="M320" s="92">
        <f ca="1">IFERROR(__xludf.DUMMYFUNCTION("IMPORTRANGE(""https://docs.google.com/spreadsheets/d/1MeEWN-I1oV_STSDYn1IFDPWt_1FKiwhDph83XaGc0o0/edit?usp=sharing"",""งบพรบ!EH84"")"),0)</f>
        <v>0</v>
      </c>
      <c r="N320" s="92">
        <f ca="1">IFERROR(__xludf.DUMMYFUNCTION("IMPORTRANGE(""https://docs.google.com/spreadsheets/d/1MeEWN-I1oV_STSDYn1IFDPWt_1FKiwhDph83XaGc0o0/edit?usp=sharing"",""งบพรบ!EJ84"")"),0)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IFERROR(__xludf.DUMMYFUNCTION("IMPORTRANGE(""https://docs.google.com/spreadsheets/d/1MeEWN-I1oV_STSDYn1IFDPWt_1FKiwhDph83XaGc0o0/edit?usp=sharing"",""งบพรบ!EF84"")"),0)</f>
        <v>0</v>
      </c>
      <c r="M323" s="92">
        <f ca="1">IFERROR(__xludf.DUMMYFUNCTION("IMPORTRANGE(""https://docs.google.com/spreadsheets/d/1MeEWN-I1oV_STSDYn1IFDPWt_1FKiwhDph83XaGc0o0/edit?usp=sharing"",""งบพรบ!EI84"")"),0)</f>
        <v>0</v>
      </c>
      <c r="N323" s="92">
        <f ca="1">IFERROR(__xludf.DUMMYFUNCTION("IMPORTRANGE(""https://docs.google.com/spreadsheets/d/1MeEWN-I1oV_STSDYn1IFDPWt_1FKiwhDph83XaGc0o0/edit?usp=sharing"",""งบพรบ!EK84"")"),0)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47" t="s">
        <v>38</v>
      </c>
      <c r="E324" s="172"/>
      <c r="F324" s="172"/>
      <c r="G324" s="173"/>
      <c r="H324" s="761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7"/>
      <c r="G325" s="178"/>
      <c r="H325" s="622" t="s">
        <v>146</v>
      </c>
      <c r="I325" s="269">
        <f ca="1">IFERROR(__xludf.DUMMYFUNCTION("IMPORTRANGE(""https://docs.google.com/spreadsheets/d/1QqKyyYR6Q21VydFLVH3TRQUabQu_ym0Zz7PgGX0-kHA/edit?usp=sharing"",""แผน!EF84"")"),0)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IFERROR(__xludf.DUMMYFUNCTION("IMPORTRANGE(""https://docs.google.com/spreadsheets/d/1QqKyyYR6Q21VydFLVH3TRQUabQu_ym0Zz7PgGX0-kHA/edit?usp=sharing"",""แผน!EG84"")"),200)</f>
        <v>200</v>
      </c>
      <c r="J327" s="444">
        <f ca="1">J338+J341+J342+J343</f>
        <v>456</v>
      </c>
      <c r="K327" s="445">
        <f ca="1">IF(I327&gt;0,J327*100/I327,0)</f>
        <v>228</v>
      </c>
      <c r="L327" s="446"/>
      <c r="M327" s="446"/>
      <c r="N327" s="446"/>
      <c r="O327" s="446"/>
      <c r="P327" s="446"/>
    </row>
    <row r="328" spans="1:26" ht="19.5">
      <c r="A328" s="146"/>
      <c r="B328" s="147"/>
      <c r="C328" s="148" t="s">
        <v>16</v>
      </c>
      <c r="D328" s="846" t="s">
        <v>17</v>
      </c>
      <c r="E328" s="147"/>
      <c r="F328" s="147"/>
      <c r="G328" s="150"/>
      <c r="H328" s="151" t="s">
        <v>12</v>
      </c>
      <c r="I328" s="420"/>
      <c r="J328" s="420"/>
      <c r="K328" s="153"/>
      <c r="L328" s="154">
        <f ca="1">L329+L330</f>
        <v>157000</v>
      </c>
      <c r="M328" s="154">
        <f ca="1">M329+M330</f>
        <v>159500</v>
      </c>
      <c r="N328" s="154">
        <f ca="1">N329+N330</f>
        <v>159500</v>
      </c>
      <c r="O328" s="154">
        <f t="shared" ref="O328:O336" ca="1" si="56">IF(L328&gt;0,N328*100/L328,0)</f>
        <v>101.59235668789809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6"/>
      <c r="J329" s="616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6"/>
      <c r="J330" s="616"/>
      <c r="K330" s="92"/>
      <c r="L330" s="92">
        <f t="shared" ca="1" si="58"/>
        <v>157000</v>
      </c>
      <c r="M330" s="92">
        <f t="shared" ca="1" si="58"/>
        <v>159500</v>
      </c>
      <c r="N330" s="92">
        <f t="shared" ca="1" si="58"/>
        <v>159500</v>
      </c>
      <c r="O330" s="92">
        <f t="shared" ca="1" si="56"/>
        <v>101.59235668789809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157000</v>
      </c>
      <c r="M331" s="497">
        <f ca="1">M332+M333</f>
        <v>159500</v>
      </c>
      <c r="N331" s="497">
        <f ca="1">N332+N333</f>
        <v>159500</v>
      </c>
      <c r="O331" s="497">
        <f t="shared" ca="1" si="56"/>
        <v>101.59235668789809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IFERROR(__xludf.DUMMYFUNCTION("IMPORTRANGE(""https://docs.google.com/spreadsheets/d/1MeEWN-I1oV_STSDYn1IFDPWt_1FKiwhDph83XaGc0o0/edit?usp=sharing"",""งบพรบ!EM84"")"),157000)</f>
        <v>157000</v>
      </c>
      <c r="M333" s="92">
        <f ca="1">IFERROR(__xludf.DUMMYFUNCTION("IMPORTRANGE(""https://docs.google.com/spreadsheets/d/1MeEWN-I1oV_STSDYn1IFDPWt_1FKiwhDph83XaGc0o0/edit?usp=sharing"",""งบพรบ!ER84"")"),159500)</f>
        <v>159500</v>
      </c>
      <c r="N333" s="92">
        <f ca="1">IFERROR(__xludf.DUMMYFUNCTION("IMPORTRANGE(""https://docs.google.com/spreadsheets/d/1MeEWN-I1oV_STSDYn1IFDPWt_1FKiwhDph83XaGc0o0/edit?usp=sharing"",""งบพรบ!ET84"")"),159500)</f>
        <v>159500</v>
      </c>
      <c r="O333" s="92">
        <f t="shared" ca="1" si="56"/>
        <v>101.59235668789809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IFERROR(__xludf.DUMMYFUNCTION("IMPORTRANGE(""https://docs.google.com/spreadsheets/d/1MeEWN-I1oV_STSDYn1IFDPWt_1FKiwhDph83XaGc0o0/edit?usp=sharing"",""งบพรบ!EP84"")"),0)</f>
        <v>0</v>
      </c>
      <c r="M336" s="92">
        <f ca="1">IFERROR(__xludf.DUMMYFUNCTION("IMPORTRANGE(""https://docs.google.com/spreadsheets/d/1MeEWN-I1oV_STSDYn1IFDPWt_1FKiwhDph83XaGc0o0/edit?usp=sharing"",""งบพรบ!ES84"")"),0)</f>
        <v>0</v>
      </c>
      <c r="N336" s="92">
        <f ca="1">IFERROR(__xludf.DUMMYFUNCTION("IMPORTRANGE(""https://docs.google.com/spreadsheets/d/1MeEWN-I1oV_STSDYn1IFDPWt_1FKiwhDph83XaGc0o0/edit?usp=sharing"",""งบพรบ!EU84"")"),0)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4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61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3"/>
      <c r="B338" s="32"/>
      <c r="C338" s="280"/>
      <c r="D338" s="447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IFERROR(__xludf.DUMMYFUNCTION("IMPORTRANGE(""https://docs.google.com/spreadsheets/d/1QqKyyYR6Q21VydFLVH3TRQUabQu_ym0Zz7PgGX0-kHA/edit?usp=sharing"",""แผน!EG84"")"),200)</f>
        <v>200</v>
      </c>
      <c r="J338" s="269">
        <f ca="1">IFERROR(__xludf.DUMMYFUNCTION("IMPORTRANGE(""https://docs.google.com/spreadsheets/d/1kVcqe37tkHyjCSG3S0O1AXqVkqjo8mSIZil3BcpIysc/edit?usp=sharing"",""ศูนย์!D84"")"),365)</f>
        <v>365</v>
      </c>
      <c r="K338" s="497">
        <f ca="1">IF(I338&gt;0,J338*100/I338,0)</f>
        <v>182.5</v>
      </c>
      <c r="L338" s="497"/>
      <c r="M338" s="497"/>
      <c r="N338" s="497"/>
      <c r="O338" s="497"/>
      <c r="P338" s="497"/>
    </row>
    <row r="339" spans="1:26" ht="18.75">
      <c r="A339" s="283"/>
      <c r="B339" s="32"/>
      <c r="C339" s="280"/>
      <c r="D339" s="447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3"/>
      <c r="B340" s="32"/>
      <c r="C340" s="280"/>
      <c r="D340" s="177"/>
      <c r="E340" s="447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IFERROR(__xludf.DUMMYFUNCTION("IMPORTRANGE(""https://docs.google.com/spreadsheets/d/1QqKyyYR6Q21VydFLVH3TRQUabQu_ym0Zz7PgGX0-kHA/edit?usp=sharing"",""แผน!EH84"")"),2)</f>
        <v>2</v>
      </c>
      <c r="J340" s="269">
        <f ca="1">IFERROR(__xludf.DUMMYFUNCTION("IMPORTRANGE(""https://docs.google.com/spreadsheets/d/1kVcqe37tkHyjCSG3S0O1AXqVkqjo8mSIZil3BcpIysc/edit?usp=sharing"",""ศูนย์!E84"")"),2)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3"/>
      <c r="B341" s="32"/>
      <c r="C341" s="280"/>
      <c r="D341" s="177"/>
      <c r="E341" s="447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IFERROR(__xludf.DUMMYFUNCTION("IMPORTRANGE(""https://docs.google.com/spreadsheets/d/1kVcqe37tkHyjCSG3S0O1AXqVkqjo8mSIZil3BcpIysc/edit?usp=sharing"",""ศูนย์!F84"")"),91)</f>
        <v>91</v>
      </c>
      <c r="K341" s="497"/>
      <c r="L341" s="497"/>
      <c r="M341" s="497"/>
      <c r="N341" s="497"/>
      <c r="O341" s="497"/>
      <c r="P341" s="497"/>
    </row>
    <row r="342" spans="1:26" ht="18.75">
      <c r="A342" s="283"/>
      <c r="B342" s="32"/>
      <c r="C342" s="280"/>
      <c r="D342" s="447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IFERROR(__xludf.DUMMYFUNCTION("IMPORTRANGE(""https://docs.google.com/spreadsheets/d/1kVcqe37tkHyjCSG3S0O1AXqVkqjo8mSIZil3BcpIysc/edit?usp=sharing"",""ศูนย์!G84"")"),0)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3"/>
      <c r="B343" s="32"/>
      <c r="C343" s="280"/>
      <c r="D343" s="447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IFERROR(__xludf.DUMMYFUNCTION("IMPORTRANGE(""https://docs.google.com/spreadsheets/d/1kVcqe37tkHyjCSG3S0O1AXqVkqjo8mSIZil3BcpIysc/edit?usp=sharing"",""ศูนย์!H84"")"),0)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6"/>
      <c r="B345" s="147"/>
      <c r="C345" s="148" t="s">
        <v>16</v>
      </c>
      <c r="D345" s="846" t="s">
        <v>17</v>
      </c>
      <c r="E345" s="147"/>
      <c r="F345" s="147"/>
      <c r="G345" s="150"/>
      <c r="H345" s="151" t="s">
        <v>12</v>
      </c>
      <c r="I345" s="420"/>
      <c r="J345" s="420"/>
      <c r="K345" s="153"/>
      <c r="L345" s="154">
        <f ca="1">L346+L347</f>
        <v>672850</v>
      </c>
      <c r="M345" s="154">
        <f ca="1">M346+M347</f>
        <v>727850</v>
      </c>
      <c r="N345" s="154">
        <f ca="1">N346+N347</f>
        <v>727850</v>
      </c>
      <c r="O345" s="154">
        <f t="shared" ref="O345:O353" ca="1" si="59">IF(L345&gt;0,N345*100/L345,0)</f>
        <v>108.17418443932526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6"/>
      <c r="J346" s="616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6"/>
      <c r="J347" s="616"/>
      <c r="K347" s="92"/>
      <c r="L347" s="92">
        <f t="shared" ca="1" si="61"/>
        <v>672850</v>
      </c>
      <c r="M347" s="92">
        <f t="shared" ca="1" si="61"/>
        <v>727850</v>
      </c>
      <c r="N347" s="92">
        <f t="shared" ca="1" si="61"/>
        <v>727850</v>
      </c>
      <c r="O347" s="92">
        <f t="shared" ca="1" si="59"/>
        <v>108.17418443932526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559050</v>
      </c>
      <c r="M348" s="497">
        <f ca="1">M349+M350</f>
        <v>614050</v>
      </c>
      <c r="N348" s="497">
        <f ca="1">N349+N350</f>
        <v>614050</v>
      </c>
      <c r="O348" s="497">
        <f t="shared" ca="1" si="59"/>
        <v>109.83811823629371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IFERROR(__xludf.DUMMYFUNCTION("IMPORTRANGE(""https://docs.google.com/spreadsheets/d/1MeEWN-I1oV_STSDYn1IFDPWt_1FKiwhDph83XaGc0o0/edit?usp=sharing"",""งบพรบ!EW84"")"),559050)</f>
        <v>559050</v>
      </c>
      <c r="M350" s="92">
        <f ca="1">IFERROR(__xludf.DUMMYFUNCTION("IMPORTRANGE(""https://docs.google.com/spreadsheets/d/1MeEWN-I1oV_STSDYn1IFDPWt_1FKiwhDph83XaGc0o0/edit?usp=sharing"",""งบพรบ!FB84"")"),614050)</f>
        <v>614050</v>
      </c>
      <c r="N350" s="92">
        <f ca="1">IFERROR(__xludf.DUMMYFUNCTION("IMPORTRANGE(""https://docs.google.com/spreadsheets/d/1MeEWN-I1oV_STSDYn1IFDPWt_1FKiwhDph83XaGc0o0/edit?usp=sharing"",""งบพรบ!FD84"")"),614050)</f>
        <v>614050</v>
      </c>
      <c r="O350" s="92">
        <f t="shared" ca="1" si="59"/>
        <v>109.83811823629371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113800</v>
      </c>
      <c r="M351" s="497">
        <f ca="1">M352+M353</f>
        <v>113800</v>
      </c>
      <c r="N351" s="497">
        <f ca="1">N352+N353</f>
        <v>113800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IFERROR(__xludf.DUMMYFUNCTION("IMPORTRANGE(""https://docs.google.com/spreadsheets/d/1MeEWN-I1oV_STSDYn1IFDPWt_1FKiwhDph83XaGc0o0/edit?usp=sharing"",""งบพรบ!EZ84"")"),113800)</f>
        <v>113800</v>
      </c>
      <c r="M353" s="92">
        <f ca="1">IFERROR(__xludf.DUMMYFUNCTION("IMPORTRANGE(""https://docs.google.com/spreadsheets/d/1MeEWN-I1oV_STSDYn1IFDPWt_1FKiwhDph83XaGc0o0/edit?usp=sharing"",""งบพรบ!FC84"")"),113800)</f>
        <v>113800</v>
      </c>
      <c r="N353" s="92">
        <f ca="1">IFERROR(__xludf.DUMMYFUNCTION("IMPORTRANGE(""https://docs.google.com/spreadsheets/d/1MeEWN-I1oV_STSDYn1IFDPWt_1FKiwhDph83XaGc0o0/edit?usp=sharing"",""งบพรบ!FE84"")"),113800)</f>
        <v>113800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1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IFERROR(__xludf.DUMMYFUNCTION("IMPORTRANGE(""https://docs.google.com/spreadsheets/d/1QqKyyYR6Q21VydFLVH3TRQUabQu_ym0Zz7PgGX0-kHA/edit?usp=sharing"",""แผน!EP84"")"),54)</f>
        <v>54</v>
      </c>
      <c r="J355" s="464">
        <f ca="1">J362</f>
        <v>97</v>
      </c>
      <c r="K355" s="465">
        <f ca="1">IF(I355&gt;0,J355*100/I355,0)</f>
        <v>179.62962962962962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47" t="s">
        <v>38</v>
      </c>
      <c r="E357" s="172"/>
      <c r="F357" s="172"/>
      <c r="G357" s="173"/>
      <c r="H357" s="761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IFERROR(__xludf.DUMMYFUNCTION("IMPORTRANGE(""https://docs.google.com/spreadsheets/d/1XWAQStnk-4SwqDmLtmXYiTMKHgktTP8We1SCoS47DrQ/edit?usp=sharing"",""จัดที่ดิน!W84"")"),107)</f>
        <v>107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IFERROR(__xludf.DUMMYFUNCTION("IMPORTRANGE(""https://docs.google.com/spreadsheets/d/1QqKyyYR6Q21VydFLVH3TRQUabQu_ym0Zz7PgGX0-kHA/edit?usp=sharing"",""แผน!EO84"")"),440)</f>
        <v>440</v>
      </c>
      <c r="J359" s="269">
        <f ca="1">IFERROR(__xludf.DUMMYFUNCTION("IMPORTRANGE(""https://docs.google.com/spreadsheets/d/1XWAQStnk-4SwqDmLtmXYiTMKHgktTP8We1SCoS47DrQ/edit?usp=sharing"",""จัดที่ดิน!X84"")"),609)</f>
        <v>609</v>
      </c>
      <c r="K359" s="497">
        <f t="shared" ca="1" si="62"/>
        <v>138.40909090909091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63" t="s">
        <v>35</v>
      </c>
      <c r="I360" s="269">
        <f ca="1">IFERROR(__xludf.DUMMYFUNCTION("IMPORTRANGE(""https://docs.google.com/spreadsheets/d/1QqKyyYR6Q21VydFLVH3TRQUabQu_ym0Zz7PgGX0-kHA/edit?usp=sharing"",""แผน!EP84"")"),54)</f>
        <v>54</v>
      </c>
      <c r="J360" s="269">
        <f ca="1">IFERROR(__xludf.DUMMYFUNCTION("IMPORTRANGE(""https://docs.google.com/spreadsheets/d/1XWAQStnk-4SwqDmLtmXYiTMKHgktTP8We1SCoS47DrQ/edit?usp=sharing"",""จัดที่ดิน!Y84"")"),106)</f>
        <v>106</v>
      </c>
      <c r="K360" s="497">
        <f t="shared" ca="1" si="62"/>
        <v>196.2962962962963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63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IFERROR(__xludf.DUMMYFUNCTION("IMPORTRANGE(""https://docs.google.com/spreadsheets/d/1XWAQStnk-4SwqDmLtmXYiTMKHgktTP8We1SCoS47DrQ/edit?usp=sharing"",""จัดที่ดิน!Z84"")"),604.32)</f>
        <v>604.32000000000005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63" t="s">
        <v>35</v>
      </c>
      <c r="I362" s="269">
        <f ca="1">IFERROR(__xludf.DUMMYFUNCTION("IMPORTRANGE(""https://docs.google.com/spreadsheets/d/1QqKyyYR6Q21VydFLVH3TRQUabQu_ym0Zz7PgGX0-kHA/edit?usp=sharing"",""แผน!EP84"")"),54)</f>
        <v>54</v>
      </c>
      <c r="J362" s="269">
        <f ca="1">IFERROR(__xludf.DUMMYFUNCTION("IMPORTRANGE(""https://docs.google.com/spreadsheets/d/1XWAQStnk-4SwqDmLtmXYiTMKHgktTP8We1SCoS47DrQ/edit?usp=sharing"",""จัดที่ดิน!AA84"")"),97)</f>
        <v>97</v>
      </c>
      <c r="K362" s="497">
        <f t="shared" ca="1" si="62"/>
        <v>179.62962962962962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7"/>
      <c r="F363" s="177"/>
      <c r="G363" s="178"/>
      <c r="H363" s="763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IFERROR(__xludf.DUMMYFUNCTION("IMPORTRANGE(""https://docs.google.com/spreadsheets/d/1XWAQStnk-4SwqDmLtmXYiTMKHgktTP8We1SCoS47DrQ/edit?usp=sharing"",""จัดที่ดิน!AB84"")"),522.44)</f>
        <v>522.44000000000005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74</v>
      </c>
      <c r="J364" s="478">
        <f ca="1">J365+J374</f>
        <v>131</v>
      </c>
      <c r="K364" s="479">
        <f t="shared" ca="1" si="62"/>
        <v>177.02702702702703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IFERROR(__xludf.DUMMYFUNCTION("IMPORTRANGE(""https://docs.google.com/spreadsheets/d/1QqKyyYR6Q21VydFLVH3TRQUabQu_ym0Zz7PgGX0-kHA/edit?usp=sharing"",""แผน!EJ84"")"),34)</f>
        <v>34</v>
      </c>
      <c r="J365" s="490">
        <f ca="1">J372</f>
        <v>80</v>
      </c>
      <c r="K365" s="491">
        <f t="shared" ca="1" si="62"/>
        <v>235.29411764705881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47" t="s">
        <v>38</v>
      </c>
      <c r="E367" s="172"/>
      <c r="F367" s="172"/>
      <c r="G367" s="173"/>
      <c r="H367" s="761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IFERROR(__xludf.DUMMYFUNCTION("IMPORTRANGE(""https://docs.google.com/spreadsheets/d/1XWAQStnk-4SwqDmLtmXYiTMKHgktTP8We1SCoS47DrQ/edit?usp=sharing"",""จัดที่ดิน!E84"")"),82)</f>
        <v>82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IFERROR(__xludf.DUMMYFUNCTION("IMPORTRANGE(""https://docs.google.com/spreadsheets/d/1QqKyyYR6Q21VydFLVH3TRQUabQu_ym0Zz7PgGX0-kHA/edit?usp=sharing"",""แผน!EI84"")"),340)</f>
        <v>340</v>
      </c>
      <c r="J369" s="269">
        <f ca="1">IFERROR(__xludf.DUMMYFUNCTION("IMPORTRANGE(""https://docs.google.com/spreadsheets/d/1XWAQStnk-4SwqDmLtmXYiTMKHgktTP8We1SCoS47DrQ/edit?usp=sharing"",""จัดที่ดิน!F84"")"),384.35)</f>
        <v>384.35</v>
      </c>
      <c r="K369" s="497">
        <f t="shared" ca="1" si="63"/>
        <v>113.04411764705883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63" t="s">
        <v>35</v>
      </c>
      <c r="I370" s="269">
        <f ca="1">IFERROR(__xludf.DUMMYFUNCTION("IMPORTRANGE(""https://docs.google.com/spreadsheets/d/1QqKyyYR6Q21VydFLVH3TRQUabQu_ym0Zz7PgGX0-kHA/edit?usp=sharing"",""แผน!EJ84"")"),34)</f>
        <v>34</v>
      </c>
      <c r="J370" s="269">
        <f ca="1">IFERROR(__xludf.DUMMYFUNCTION("IMPORTRANGE(""https://docs.google.com/spreadsheets/d/1XWAQStnk-4SwqDmLtmXYiTMKHgktTP8We1SCoS47DrQ/edit?usp=sharing"",""จัดที่ดิน!G84"")"),81)</f>
        <v>81</v>
      </c>
      <c r="K370" s="497">
        <f t="shared" ca="1" si="63"/>
        <v>238.23529411764707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63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IFERROR(__xludf.DUMMYFUNCTION("IMPORTRANGE(""https://docs.google.com/spreadsheets/d/1XWAQStnk-4SwqDmLtmXYiTMKHgktTP8We1SCoS47DrQ/edit?usp=sharing"",""จัดที่ดิน!H84"")"),379.67)</f>
        <v>379.67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63" t="s">
        <v>35</v>
      </c>
      <c r="I372" s="269">
        <f ca="1">IFERROR(__xludf.DUMMYFUNCTION("IMPORTRANGE(""https://docs.google.com/spreadsheets/d/1QqKyyYR6Q21VydFLVH3TRQUabQu_ym0Zz7PgGX0-kHA/edit?usp=sharing"",""แผน!EJ84"")"),34)</f>
        <v>34</v>
      </c>
      <c r="J372" s="269">
        <f ca="1">IFERROR(__xludf.DUMMYFUNCTION("IMPORTRANGE(""https://docs.google.com/spreadsheets/d/1XWAQStnk-4SwqDmLtmXYiTMKHgktTP8We1SCoS47DrQ/edit?usp=sharing"",""จัดที่ดิน!I84"")"),80)</f>
        <v>80</v>
      </c>
      <c r="K372" s="497">
        <f t="shared" ca="1" si="63"/>
        <v>235.29411764705881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7"/>
      <c r="C373" s="170"/>
      <c r="D373" s="177"/>
      <c r="E373" s="447"/>
      <c r="F373" s="177"/>
      <c r="G373" s="178"/>
      <c r="H373" s="763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IFERROR(__xludf.DUMMYFUNCTION("IMPORTRANGE(""https://docs.google.com/spreadsheets/d/1XWAQStnk-4SwqDmLtmXYiTMKHgktTP8We1SCoS47DrQ/edit?usp=sharing"",""จัดที่ดิน!J84"")"),376.33)</f>
        <v>376.33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IFERROR(__xludf.DUMMYFUNCTION("IMPORTRANGE(""https://docs.google.com/spreadsheets/d/1QqKyyYR6Q21VydFLVH3TRQUabQu_ym0Zz7PgGX0-kHA/edit?usp=sharing"",""แผน!EU84"")"),40)</f>
        <v>40</v>
      </c>
      <c r="J374" s="490">
        <f ca="1">J381</f>
        <v>51</v>
      </c>
      <c r="K374" s="491">
        <f t="shared" ca="1" si="63"/>
        <v>127.5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47" t="s">
        <v>38</v>
      </c>
      <c r="E376" s="172"/>
      <c r="F376" s="172"/>
      <c r="G376" s="173"/>
      <c r="H376" s="761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IFERROR(__xludf.DUMMYFUNCTION("IMPORTRANGE(""https://docs.google.com/spreadsheets/d/1XWAQStnk-4SwqDmLtmXYiTMKHgktTP8We1SCoS47DrQ/edit?usp=sharing"",""จัดที่ดิน!AH84"")"),25)</f>
        <v>25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IFERROR(__xludf.DUMMYFUNCTION("IMPORTRANGE(""https://docs.google.com/spreadsheets/d/1QqKyyYR6Q21VydFLVH3TRQUabQu_ym0Zz7PgGX0-kHA/edit?usp=sharing"",""แผน!ET84"")"),100)</f>
        <v>100</v>
      </c>
      <c r="J378" s="269">
        <f ca="1">IFERROR(__xludf.DUMMYFUNCTION("IMPORTRANGE(""https://docs.google.com/spreadsheets/d/1XWAQStnk-4SwqDmLtmXYiTMKHgktTP8We1SCoS47DrQ/edit?usp=sharing"",""จัดที่ดิน!AI84"")"),224.65)</f>
        <v>224.65</v>
      </c>
      <c r="K378" s="497">
        <f t="shared" ca="1" si="64"/>
        <v>224.65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63" t="s">
        <v>35</v>
      </c>
      <c r="I379" s="269">
        <f ca="1">IFERROR(__xludf.DUMMYFUNCTION("IMPORTRANGE(""https://docs.google.com/spreadsheets/d/1QqKyyYR6Q21VydFLVH3TRQUabQu_ym0Zz7PgGX0-kHA/edit?usp=sharing"",""แผน!EU84"")"),40)</f>
        <v>40</v>
      </c>
      <c r="J379" s="269">
        <f ca="1">IFERROR(__xludf.DUMMYFUNCTION("IMPORTRANGE(""https://docs.google.com/spreadsheets/d/1XWAQStnk-4SwqDmLtmXYiTMKHgktTP8We1SCoS47DrQ/edit?usp=sharing"",""จัดที่ดิน!AJ84"")"),58)</f>
        <v>58</v>
      </c>
      <c r="K379" s="497">
        <f t="shared" ca="1" si="64"/>
        <v>145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63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IFERROR(__xludf.DUMMYFUNCTION("IMPORTRANGE(""https://docs.google.com/spreadsheets/d/1XWAQStnk-4SwqDmLtmXYiTMKHgktTP8We1SCoS47DrQ/edit?usp=sharing"",""จัดที่ดิน!AK84"")"),457.31)</f>
        <v>457.31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63" t="s">
        <v>35</v>
      </c>
      <c r="I381" s="269">
        <f ca="1">IFERROR(__xludf.DUMMYFUNCTION("IMPORTRANGE(""https://docs.google.com/spreadsheets/d/1QqKyyYR6Q21VydFLVH3TRQUabQu_ym0Zz7PgGX0-kHA/edit?usp=sharing"",""แผน!EU84"")"),40)</f>
        <v>40</v>
      </c>
      <c r="J381" s="269">
        <f ca="1">IFERROR(__xludf.DUMMYFUNCTION("IMPORTRANGE(""https://docs.google.com/spreadsheets/d/1XWAQStnk-4SwqDmLtmXYiTMKHgktTP8We1SCoS47DrQ/edit?usp=sharing"",""จัดที่ดิน!AL84"")"),51)</f>
        <v>51</v>
      </c>
      <c r="K381" s="497">
        <f t="shared" ca="1" si="64"/>
        <v>127.5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7"/>
      <c r="C382" s="170"/>
      <c r="D382" s="177"/>
      <c r="E382" s="447"/>
      <c r="F382" s="177"/>
      <c r="G382" s="178"/>
      <c r="H382" s="763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IFERROR(__xludf.DUMMYFUNCTION("IMPORTRANGE(""https://docs.google.com/spreadsheets/d/1XWAQStnk-4SwqDmLtmXYiTMKHgktTP8We1SCoS47DrQ/edit?usp=sharing"",""จัดที่ดิน!AM84"")"),391.66)</f>
        <v>391.66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498"/>
      <c r="B383" s="499"/>
      <c r="C383" s="290"/>
      <c r="D383" s="849" t="s">
        <v>169</v>
      </c>
      <c r="E383" s="290"/>
      <c r="F383" s="290"/>
      <c r="G383" s="501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4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761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503" t="s">
        <v>170</v>
      </c>
      <c r="F385" s="380"/>
      <c r="G385" s="381"/>
      <c r="H385" s="504" t="s">
        <v>35</v>
      </c>
      <c r="I385" s="505">
        <f ca="1">IFERROR(__xludf.DUMMYFUNCTION("IMPORTRANGE(""https://docs.google.com/spreadsheets/d/1QqKyyYR6Q21VydFLVH3TRQUabQu_ym0Zz7PgGX0-kHA/edit?usp=sharing"",""แผน!EW84"")"),10)</f>
        <v>10</v>
      </c>
      <c r="J385" s="505">
        <f ca="1">IFERROR(__xludf.DUMMYFUNCTION("IMPORTRANGE(""https://docs.google.com/spreadsheets/d/1XWAQStnk-4SwqDmLtmXYiTMKHgktTP8We1SCoS47DrQ/edit?usp=sharing"",""จัดที่ดิน!AP84"")"),5)</f>
        <v>5</v>
      </c>
      <c r="K385" s="506">
        <f ca="1">IF(I385&gt;0,J385*100/I385,0)</f>
        <v>50</v>
      </c>
      <c r="L385" s="384"/>
      <c r="M385" s="384"/>
      <c r="N385" s="384"/>
      <c r="O385" s="384"/>
      <c r="P385" s="384"/>
    </row>
    <row r="386" spans="1:26" ht="19.5" hidden="1">
      <c r="A386" s="507" t="s">
        <v>171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172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173</v>
      </c>
      <c r="C388" s="522"/>
      <c r="D388" s="523"/>
      <c r="E388" s="523"/>
      <c r="F388" s="523"/>
      <c r="G388" s="524"/>
      <c r="H388" s="525" t="s">
        <v>66</v>
      </c>
      <c r="I388" s="526">
        <f>I400</f>
        <v>0</v>
      </c>
      <c r="J388" s="526">
        <f>J400</f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6"/>
      <c r="B389" s="147"/>
      <c r="C389" s="148" t="s">
        <v>16</v>
      </c>
      <c r="D389" s="846" t="s">
        <v>17</v>
      </c>
      <c r="E389" s="147"/>
      <c r="F389" s="147"/>
      <c r="G389" s="150"/>
      <c r="H389" s="151" t="s">
        <v>12</v>
      </c>
      <c r="I389" s="420"/>
      <c r="J389" s="420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6"/>
      <c r="J390" s="616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6"/>
      <c r="J391" s="616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IFERROR(__xludf.DUMMYFUNCTION("IMPORTRANGE(""https://docs.google.com/spreadsheets/d/1MeEWN-I1oV_STSDYn1IFDPWt_1FKiwhDph83XaGc0o0/edit?usp=sharing"",""งบพรบ!FG84"")"),0)</f>
        <v>0</v>
      </c>
      <c r="M394" s="92">
        <f ca="1">IFERROR(__xludf.DUMMYFUNCTION("IMPORTRANGE(""https://docs.google.com/spreadsheets/d/1MeEWN-I1oV_STSDYn1IFDPWt_1FKiwhDph83XaGc0o0/edit?usp=sharing"",""งบพรบ!FL84"")"),0)</f>
        <v>0</v>
      </c>
      <c r="N394" s="92">
        <f ca="1">IFERROR(__xludf.DUMMYFUNCTION("IMPORTRANGE(""https://docs.google.com/spreadsheets/d/1MeEWN-I1oV_STSDYn1IFDPWt_1FKiwhDph83XaGc0o0/edit?usp=sharing"",""งบพรบ!FN84"")"),0)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IFERROR(__xludf.DUMMYFUNCTION("IMPORTRANGE(""https://docs.google.com/spreadsheets/d/1MeEWN-I1oV_STSDYn1IFDPWt_1FKiwhDph83XaGc0o0/edit?usp=sharing"",""งบพรบ!FJ84"")"),0)</f>
        <v>0</v>
      </c>
      <c r="M397" s="92">
        <f ca="1">IFERROR(__xludf.DUMMYFUNCTION("IMPORTRANGE(""https://docs.google.com/spreadsheets/d/1MeEWN-I1oV_STSDYn1IFDPWt_1FKiwhDph83XaGc0o0/edit?usp=sharing"",""งบพรบ!FM84"")"),0)</f>
        <v>0</v>
      </c>
      <c r="N397" s="92">
        <f ca="1">IFERROR(__xludf.DUMMYFUNCTION("IMPORTRANGE(""https://docs.google.com/spreadsheets/d/1MeEWN-I1oV_STSDYn1IFDPWt_1FKiwhDph83XaGc0o0/edit?usp=sharing"",""งบพรบ!FO84"")"),0)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47" t="s">
        <v>38</v>
      </c>
      <c r="E398" s="172"/>
      <c r="F398" s="172"/>
      <c r="G398" s="173"/>
      <c r="H398" s="761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9"/>
      <c r="B399" s="147"/>
      <c r="C399" s="530"/>
      <c r="D399" s="531" t="s">
        <v>174</v>
      </c>
      <c r="E399" s="415"/>
      <c r="F399" s="147"/>
      <c r="G399" s="150"/>
      <c r="H399" s="532" t="s">
        <v>9</v>
      </c>
      <c r="I399" s="269">
        <v>0</v>
      </c>
      <c r="J399" s="214">
        <v>0</v>
      </c>
      <c r="K399" s="497">
        <f>IF(I399&gt;0,J399*100/I399,0)</f>
        <v>0</v>
      </c>
      <c r="L399" s="533"/>
      <c r="M399" s="533"/>
      <c r="N399" s="533"/>
      <c r="O399" s="533"/>
      <c r="P399" s="533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3"/>
      <c r="B400" s="32"/>
      <c r="C400" s="280"/>
      <c r="D400" s="447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20"/>
      <c r="B401" s="521" t="s">
        <v>176</v>
      </c>
      <c r="C401" s="522"/>
      <c r="D401" s="523"/>
      <c r="E401" s="523"/>
      <c r="F401" s="523"/>
      <c r="G401" s="524"/>
      <c r="H401" s="525" t="s">
        <v>66</v>
      </c>
      <c r="I401" s="526">
        <f>I412</f>
        <v>0</v>
      </c>
      <c r="J401" s="526">
        <f>J412</f>
        <v>0</v>
      </c>
      <c r="K401" s="527">
        <f>IF(I401&gt;0,J401*100/I401,0)</f>
        <v>0</v>
      </c>
      <c r="L401" s="528"/>
      <c r="M401" s="528"/>
      <c r="N401" s="528"/>
      <c r="O401" s="528"/>
      <c r="P401" s="528"/>
    </row>
    <row r="402" spans="1:26" ht="19.5" hidden="1">
      <c r="A402" s="146"/>
      <c r="B402" s="147"/>
      <c r="C402" s="148" t="s">
        <v>16</v>
      </c>
      <c r="D402" s="846" t="s">
        <v>17</v>
      </c>
      <c r="E402" s="147"/>
      <c r="F402" s="147"/>
      <c r="G402" s="150"/>
      <c r="H402" s="151" t="s">
        <v>12</v>
      </c>
      <c r="I402" s="420"/>
      <c r="J402" s="420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6"/>
      <c r="J403" s="616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6"/>
      <c r="J404" s="616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IFERROR(__xludf.DUMMYFUNCTION("IMPORTRANGE(""https://docs.google.com/spreadsheets/d/1MeEWN-I1oV_STSDYn1IFDPWt_1FKiwhDph83XaGc0o0/edit?usp=sharing"",""งบพรบ!FQ84"")"),0)</f>
        <v>0</v>
      </c>
      <c r="M407" s="92">
        <f ca="1">IFERROR(__xludf.DUMMYFUNCTION("IMPORTRANGE(""https://docs.google.com/spreadsheets/d/1MeEWN-I1oV_STSDYn1IFDPWt_1FKiwhDph83XaGc0o0/edit?usp=sharing"",""งบพรบ!FV84"")"),0)</f>
        <v>0</v>
      </c>
      <c r="N407" s="92">
        <f ca="1">IFERROR(__xludf.DUMMYFUNCTION("IMPORTRANGE(""https://docs.google.com/spreadsheets/d/1MeEWN-I1oV_STSDYn1IFDPWt_1FKiwhDph83XaGc0o0/edit?usp=sharing"",""งบพรบ!FX84"")"),0)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IFERROR(__xludf.DUMMYFUNCTION("IMPORTRANGE(""https://docs.google.com/spreadsheets/d/1MeEWN-I1oV_STSDYn1IFDPWt_1FKiwhDph83XaGc0o0/edit?usp=sharing"",""งบพรบ!FT84"")"),0)</f>
        <v>0</v>
      </c>
      <c r="M410" s="92">
        <f ca="1">IFERROR(__xludf.DUMMYFUNCTION("IMPORTRANGE(""https://docs.google.com/spreadsheets/d/1MeEWN-I1oV_STSDYn1IFDPWt_1FKiwhDph83XaGc0o0/edit?usp=sharing"",""งบพรบ!FW84"")"),0)</f>
        <v>0</v>
      </c>
      <c r="N410" s="92">
        <f ca="1">IFERROR(__xludf.DUMMYFUNCTION("IMPORTRANGE(""https://docs.google.com/spreadsheets/d/1MeEWN-I1oV_STSDYn1IFDPWt_1FKiwhDph83XaGc0o0/edit?usp=sharing"",""งบพรบ!FY84"")"),0)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45" t="s">
        <v>38</v>
      </c>
      <c r="E411" s="535"/>
      <c r="F411" s="535"/>
      <c r="G411" s="536"/>
      <c r="H411" s="761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7" t="s">
        <v>177</v>
      </c>
      <c r="E412" s="177"/>
      <c r="F412" s="177"/>
      <c r="G412" s="178"/>
      <c r="H412" s="537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8"/>
      <c r="B413" s="539"/>
      <c r="C413" s="539"/>
      <c r="D413" s="540" t="s">
        <v>178</v>
      </c>
      <c r="E413" s="539"/>
      <c r="F413" s="539"/>
      <c r="G413" s="541"/>
      <c r="H413" s="542" t="s">
        <v>179</v>
      </c>
      <c r="I413" s="543">
        <v>0</v>
      </c>
      <c r="J413" s="544">
        <v>0</v>
      </c>
      <c r="K413" s="545">
        <f>IF(I413&gt;0,J413*100/I413,0)</f>
        <v>0</v>
      </c>
      <c r="L413" s="546"/>
      <c r="M413" s="546"/>
      <c r="N413" s="546"/>
      <c r="O413" s="546"/>
      <c r="P413" s="546"/>
    </row>
    <row r="414" spans="1:26" ht="19.5">
      <c r="A414" s="547" t="s">
        <v>180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ca="1">L419+L444+L467+L502+L523+L544+L629+L655+L685+L737+L754+L770+L786+L805</f>
        <v>778095</v>
      </c>
      <c r="M414" s="553">
        <f ca="1">M419+M444+M467+M502+M523+M544+M629+M655+M685+M737+M754+M770+M786+M805</f>
        <v>713499.57000000007</v>
      </c>
      <c r="N414" s="553">
        <f>N419+N444+N467+N502+N523+N544+N629+N655+N685+N737+N754+N770+N786+N805</f>
        <v>713499.57000000007</v>
      </c>
      <c r="O414" s="553">
        <f ca="1">IF(L414&gt;0,N414*100/L414,0)</f>
        <v>91.698259209993637</v>
      </c>
      <c r="P414" s="553">
        <f ca="1">IF(M414&gt;0,N414*100/M414,0)</f>
        <v>99.999999999999986</v>
      </c>
    </row>
    <row r="415" spans="1:26" ht="19.5">
      <c r="A415" s="554" t="s">
        <v>181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182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183</v>
      </c>
      <c r="C417" s="565"/>
      <c r="D417" s="566"/>
      <c r="E417" s="566"/>
      <c r="F417" s="566"/>
      <c r="G417" s="567"/>
      <c r="H417" s="568" t="s">
        <v>35</v>
      </c>
      <c r="I417" s="569">
        <f ca="1">I433</f>
        <v>10</v>
      </c>
      <c r="J417" s="569">
        <f ca="1">J433</f>
        <v>10</v>
      </c>
      <c r="K417" s="570">
        <f ca="1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ca="1">I434</f>
        <v>1</v>
      </c>
      <c r="J418" s="569">
        <f>J434</f>
        <v>1</v>
      </c>
      <c r="K418" s="570">
        <f ca="1">IF(I418&gt;0,J418*100/I418,0)</f>
        <v>100</v>
      </c>
      <c r="L418" s="571"/>
      <c r="M418" s="571"/>
      <c r="N418" s="571"/>
      <c r="O418" s="571"/>
      <c r="P418" s="571"/>
    </row>
    <row r="419" spans="1:26" ht="19.5">
      <c r="A419" s="146"/>
      <c r="B419" s="147"/>
      <c r="C419" s="147" t="s">
        <v>16</v>
      </c>
      <c r="D419" s="910" t="s">
        <v>17</v>
      </c>
      <c r="E419" s="890"/>
      <c r="F419" s="890"/>
      <c r="G419" s="150"/>
      <c r="H419" s="274" t="s">
        <v>12</v>
      </c>
      <c r="I419" s="420"/>
      <c r="J419" s="420"/>
      <c r="K419" s="153"/>
      <c r="L419" s="154">
        <f ca="1">L420+L421</f>
        <v>54560</v>
      </c>
      <c r="M419" s="154">
        <f ca="1">M420+M421</f>
        <v>59560</v>
      </c>
      <c r="N419" s="154">
        <f>N420+N421</f>
        <v>59560</v>
      </c>
      <c r="O419" s="154">
        <f t="shared" ref="O419:O424" ca="1" si="71">IF(L419&gt;0,N419*100/L419,0)</f>
        <v>109.1642228739003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6"/>
      <c r="J420" s="616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6"/>
      <c r="J421" s="616"/>
      <c r="K421" s="92"/>
      <c r="L421" s="92">
        <f t="shared" ca="1" si="73"/>
        <v>54560</v>
      </c>
      <c r="M421" s="92">
        <f t="shared" ca="1" si="73"/>
        <v>59560</v>
      </c>
      <c r="N421" s="92">
        <f t="shared" si="73"/>
        <v>59560</v>
      </c>
      <c r="O421" s="92">
        <f t="shared" ca="1" si="71"/>
        <v>109.1642228739003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54560</v>
      </c>
      <c r="M422" s="497">
        <f ca="1">M423+M424</f>
        <v>59560</v>
      </c>
      <c r="N422" s="497">
        <f>N423+N424</f>
        <v>59560</v>
      </c>
      <c r="O422" s="497">
        <f t="shared" ca="1" si="71"/>
        <v>109.1642228739003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6"/>
      <c r="J423" s="616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6"/>
      <c r="J424" s="616"/>
      <c r="K424" s="92"/>
      <c r="L424" s="92">
        <f ca="1">IFERROR(__xludf.DUMMYFUNCTION("IMPORTRANGE(""https://docs.google.com/spreadsheets/d/1QqKyyYR6Q21VydFLVH3TRQUabQu_ym0Zz7PgGX0-kHA/edit?usp=sharing"",""แผน!EY84"")"),54560)</f>
        <v>54560</v>
      </c>
      <c r="M424" s="92">
        <f ca="1">L424+5000</f>
        <v>59560</v>
      </c>
      <c r="N424" s="92">
        <f>N425+N426+N427+N428</f>
        <v>59560</v>
      </c>
      <c r="O424" s="92">
        <f t="shared" ca="1" si="71"/>
        <v>109.1642228739003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73"/>
      <c r="B425" s="574"/>
      <c r="C425" s="762"/>
      <c r="D425" s="762"/>
      <c r="E425" s="762"/>
      <c r="F425" s="762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826">
        <v>29300</v>
      </c>
      <c r="O425" s="497"/>
      <c r="P425" s="497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826">
        <v>0</v>
      </c>
      <c r="O426" s="497"/>
      <c r="P426" s="497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826">
        <v>0</v>
      </c>
      <c r="O427" s="497"/>
      <c r="P427" s="497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3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826">
        <v>30260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IFERROR(__xludf.DUMMYFUNCTION("IMPORTRANGE(""https://docs.google.com/spreadsheets/d/1QqKyyYR6Q21VydFLVH3TRQUabQu_ym0Zz7PgGX0-kHA/edit?usp=sharing"",""แผน!FB84"")"),0)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4"/>
      <c r="B432" s="415"/>
      <c r="C432" s="147" t="s">
        <v>16</v>
      </c>
      <c r="D432" s="844" t="s">
        <v>38</v>
      </c>
      <c r="E432" s="579"/>
      <c r="F432" s="579"/>
      <c r="G432" s="580"/>
      <c r="H432" s="581"/>
      <c r="I432" s="420"/>
      <c r="J432" s="420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80">
        <f ca="1">I435</f>
        <v>10</v>
      </c>
      <c r="J433" s="680">
        <f ca="1">IF(AND(J435=I435,J437=I437,J439=I439),I437+I439,IF(AND(J435=I437,J437=I437),I437,IF(AND(J435=I439,J439=I439),I439,0)))</f>
        <v>10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80">
        <f ca="1">I438+I440</f>
        <v>1</v>
      </c>
      <c r="J434" s="680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7" t="s">
        <v>192</v>
      </c>
      <c r="E435" s="177"/>
      <c r="F435" s="177"/>
      <c r="G435" s="178"/>
      <c r="H435" s="622" t="s">
        <v>35</v>
      </c>
      <c r="I435" s="582">
        <f ca="1">IFERROR(__xludf.DUMMYFUNCTION("IMPORTRANGE(""https://docs.google.com/spreadsheets/d/1QqKyyYR6Q21VydFLVH3TRQUabQu_ym0Zz7PgGX0-kHA/edit?usp=sharing"",""แผน!FC84"")"),10)</f>
        <v>10</v>
      </c>
      <c r="J435" s="583">
        <v>10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7" t="s">
        <v>193</v>
      </c>
      <c r="E436" s="177"/>
      <c r="F436" s="177"/>
      <c r="G436" s="178"/>
      <c r="H436" s="622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7" t="s">
        <v>194</v>
      </c>
      <c r="E437" s="177"/>
      <c r="F437" s="177"/>
      <c r="G437" s="178"/>
      <c r="H437" s="622" t="s">
        <v>35</v>
      </c>
      <c r="I437" s="582">
        <f ca="1">IFERROR(__xludf.DUMMYFUNCTION("IMPORTRANGE(""https://docs.google.com/spreadsheets/d/1QqKyyYR6Q21VydFLVH3TRQUabQu_ym0Zz7PgGX0-kHA/edit?usp=sharing"",""แผน!FD84"")"),0)</f>
        <v>0</v>
      </c>
      <c r="J437" s="583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7" t="s">
        <v>195</v>
      </c>
      <c r="E438" s="177"/>
      <c r="F438" s="177"/>
      <c r="G438" s="178"/>
      <c r="H438" s="622" t="s">
        <v>49</v>
      </c>
      <c r="I438" s="269">
        <f ca="1">IFERROR(__xludf.DUMMYFUNCTION("IMPORTRANGE(""https://docs.google.com/spreadsheets/d/1QqKyyYR6Q21VydFLVH3TRQUabQu_ym0Zz7PgGX0-kHA/edit?usp=sharing"",""แผน!FE84"")"),0)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7" t="s">
        <v>196</v>
      </c>
      <c r="E439" s="177"/>
      <c r="F439" s="177"/>
      <c r="G439" s="178"/>
      <c r="H439" s="622" t="s">
        <v>35</v>
      </c>
      <c r="I439" s="582">
        <f ca="1">IFERROR(__xludf.DUMMYFUNCTION("IMPORTRANGE(""https://docs.google.com/spreadsheets/d/1QqKyyYR6Q21VydFLVH3TRQUabQu_ym0Zz7PgGX0-kHA/edit?usp=sharing"",""แผน!FF84"")"),10)</f>
        <v>10</v>
      </c>
      <c r="J439" s="583">
        <v>10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7" t="s">
        <v>197</v>
      </c>
      <c r="E440" s="177"/>
      <c r="F440" s="177"/>
      <c r="G440" s="178"/>
      <c r="H440" s="622" t="s">
        <v>49</v>
      </c>
      <c r="I440" s="269">
        <f ca="1">IFERROR(__xludf.DUMMYFUNCTION("IMPORTRANGE(""https://docs.google.com/spreadsheets/d/1QqKyyYR6Q21VydFLVH3TRQUabQu_ym0Zz7PgGX0-kHA/edit?usp=sharing"",""แผน!FG84"")"),1)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7" t="s">
        <v>198</v>
      </c>
      <c r="E441" s="177"/>
      <c r="F441" s="177"/>
      <c r="G441" s="178"/>
      <c r="H441" s="622" t="s">
        <v>35</v>
      </c>
      <c r="I441" s="269">
        <f ca="1">IFERROR(__xludf.DUMMYFUNCTION("IMPORTRANGE(""https://docs.google.com/spreadsheets/d/1QqKyyYR6Q21VydFLVH3TRQUabQu_ym0Zz7PgGX0-kHA/edit?usp=sharing"",""แผน!FH84"")"),0)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84">
        <v>2</v>
      </c>
      <c r="B442" s="585" t="s">
        <v>199</v>
      </c>
      <c r="C442" s="586"/>
      <c r="D442" s="586"/>
      <c r="E442" s="586"/>
      <c r="F442" s="586"/>
      <c r="G442" s="587"/>
      <c r="H442" s="588" t="s">
        <v>35</v>
      </c>
      <c r="I442" s="589">
        <f ca="1">I460</f>
        <v>0</v>
      </c>
      <c r="J442" s="589">
        <f>J460</f>
        <v>0</v>
      </c>
      <c r="K442" s="590">
        <f t="shared" ca="1" si="7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ca="1">I462</f>
        <v>0</v>
      </c>
      <c r="J443" s="569">
        <f>J462</f>
        <v>0</v>
      </c>
      <c r="K443" s="570">
        <f t="shared" ca="1" si="7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887" t="s">
        <v>17</v>
      </c>
      <c r="E444" s="888"/>
      <c r="F444" s="888"/>
      <c r="G444" s="188"/>
      <c r="H444" s="597" t="s">
        <v>12</v>
      </c>
      <c r="I444" s="269"/>
      <c r="J444" s="269"/>
      <c r="K444" s="497"/>
      <c r="L444" s="194">
        <f ca="1">L445+L446</f>
        <v>0</v>
      </c>
      <c r="M444" s="194">
        <f>M445+M446</f>
        <v>0</v>
      </c>
      <c r="N444" s="194">
        <f>N445+N446</f>
        <v>0</v>
      </c>
      <c r="O444" s="194">
        <f t="shared" ref="O444:O449" ca="1" si="75">IF(L444&gt;0,N444*100/L444,0)</f>
        <v>0</v>
      </c>
      <c r="P444" s="194">
        <f t="shared" ref="P444:P449" si="76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184</v>
      </c>
      <c r="F445" s="758"/>
      <c r="G445" s="602"/>
      <c r="H445" s="164" t="s">
        <v>12</v>
      </c>
      <c r="I445" s="616"/>
      <c r="J445" s="616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185</v>
      </c>
      <c r="F446" s="758"/>
      <c r="G446" s="602"/>
      <c r="H446" s="164" t="s">
        <v>12</v>
      </c>
      <c r="I446" s="616"/>
      <c r="J446" s="616"/>
      <c r="K446" s="92"/>
      <c r="L446" s="92">
        <f t="shared" ca="1" si="77"/>
        <v>0</v>
      </c>
      <c r="M446" s="92">
        <f t="shared" si="77"/>
        <v>0</v>
      </c>
      <c r="N446" s="92">
        <f t="shared" si="77"/>
        <v>0</v>
      </c>
      <c r="O446" s="92">
        <f t="shared" ca="1" si="75"/>
        <v>0</v>
      </c>
      <c r="P446" s="92">
        <f t="shared" si="76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8"/>
      <c r="H447" s="160" t="s">
        <v>12</v>
      </c>
      <c r="I447" s="183"/>
      <c r="J447" s="183"/>
      <c r="K447" s="162"/>
      <c r="L447" s="497">
        <f ca="1">L448+L449</f>
        <v>0</v>
      </c>
      <c r="M447" s="497">
        <f>M448+M449</f>
        <v>0</v>
      </c>
      <c r="N447" s="497">
        <f>N448+N449</f>
        <v>0</v>
      </c>
      <c r="O447" s="497">
        <f t="shared" ca="1" si="75"/>
        <v>0</v>
      </c>
      <c r="P447" s="497">
        <f t="shared" si="76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184</v>
      </c>
      <c r="F448" s="758"/>
      <c r="G448" s="602"/>
      <c r="H448" s="164" t="s">
        <v>12</v>
      </c>
      <c r="I448" s="616"/>
      <c r="J448" s="616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185</v>
      </c>
      <c r="F449" s="758"/>
      <c r="G449" s="602"/>
      <c r="H449" s="164" t="s">
        <v>12</v>
      </c>
      <c r="I449" s="616"/>
      <c r="J449" s="616"/>
      <c r="K449" s="92"/>
      <c r="L449" s="92">
        <f ca="1">IFERROR(__xludf.DUMMYFUNCTION("IMPORTRANGE(""https://docs.google.com/spreadsheets/d/1QqKyyYR6Q21VydFLVH3TRQUabQu_ym0Zz7PgGX0-kHA/edit?usp=sharing"",""แผน!FJ84"")"),0)</f>
        <v>0</v>
      </c>
      <c r="M449" s="92">
        <v>0</v>
      </c>
      <c r="N449" s="92">
        <f>N450+N451+N452+N453</f>
        <v>0</v>
      </c>
      <c r="O449" s="92">
        <f t="shared" ca="1" si="75"/>
        <v>0</v>
      </c>
      <c r="P449" s="92">
        <f t="shared" si="76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826">
        <v>0</v>
      </c>
      <c r="O450" s="497"/>
      <c r="P450" s="497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826">
        <v>0</v>
      </c>
      <c r="O451" s="497"/>
      <c r="P451" s="497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826">
        <v>0</v>
      </c>
      <c r="O452" s="497"/>
      <c r="P452" s="497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826">
        <v>0</v>
      </c>
      <c r="O453" s="497"/>
      <c r="P453" s="497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IFERROR(__xludf.DUMMYFUNCTION("IMPORTRANGE(""https://docs.google.com/spreadsheets/d/1QqKyyYR6Q21VydFLVH3TRQUabQu_ym0Zz7PgGX0-kHA/edit?usp=sharing"",""แผน!FM84"")"),0)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40" t="s">
        <v>38</v>
      </c>
      <c r="E457" s="610"/>
      <c r="F457" s="760"/>
      <c r="G457" s="612"/>
      <c r="H457" s="761"/>
      <c r="I457" s="269"/>
      <c r="J457" s="269"/>
      <c r="K457" s="497"/>
      <c r="L457" s="497"/>
      <c r="M457" s="497"/>
      <c r="N457" s="497"/>
      <c r="O457" s="497"/>
      <c r="P457" s="497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200</v>
      </c>
      <c r="E458" s="615"/>
      <c r="F458" s="719"/>
      <c r="G458" s="365"/>
      <c r="H458" s="369" t="s">
        <v>35</v>
      </c>
      <c r="I458" s="616">
        <v>0</v>
      </c>
      <c r="J458" s="616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201</v>
      </c>
      <c r="E459" s="615"/>
      <c r="F459" s="719"/>
      <c r="G459" s="365"/>
      <c r="H459" s="369"/>
      <c r="I459" s="616"/>
      <c r="J459" s="616"/>
      <c r="K459" s="92"/>
      <c r="L459" s="92"/>
      <c r="M459" s="92"/>
      <c r="N459" s="92"/>
      <c r="O459" s="92"/>
      <c r="P459" s="92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202</v>
      </c>
      <c r="E460" s="617"/>
      <c r="F460" s="625"/>
      <c r="G460" s="761"/>
      <c r="H460" s="763" t="s">
        <v>35</v>
      </c>
      <c r="I460" s="269">
        <f ca="1">IFERROR(__xludf.DUMMYFUNCTION("IMPORTRANGE(""https://docs.google.com/spreadsheets/d/1QqKyyYR6Q21VydFLVH3TRQUabQu_ym0Zz7PgGX0-kHA/edit?usp=sharing"",""แผน!FN84"")"),0)</f>
        <v>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203</v>
      </c>
      <c r="E461" s="625"/>
      <c r="F461" s="625"/>
      <c r="G461" s="761"/>
      <c r="H461" s="763"/>
      <c r="I461" s="269"/>
      <c r="J461" s="269"/>
      <c r="K461" s="497"/>
      <c r="L461" s="497"/>
      <c r="M461" s="497"/>
      <c r="N461" s="497"/>
      <c r="O461" s="497"/>
      <c r="P461" s="497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204</v>
      </c>
      <c r="E462" s="625"/>
      <c r="F462" s="625"/>
      <c r="G462" s="761"/>
      <c r="H462" s="763" t="s">
        <v>46</v>
      </c>
      <c r="I462" s="269">
        <f ca="1">IFERROR(__xludf.DUMMYFUNCTION("IMPORTRANGE(""https://docs.google.com/spreadsheets/d/1QqKyyYR6Q21VydFLVH3TRQUabQu_ym0Zz7PgGX0-kHA/edit?usp=sharing"",""แผน!FO84"")"),0)</f>
        <v>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8"/>
      <c r="H463" s="763" t="s">
        <v>46</v>
      </c>
      <c r="I463" s="269">
        <f ca="1">IFERROR(__xludf.DUMMYFUNCTION("IMPORTRANGE(""https://docs.google.com/spreadsheets/d/1QqKyyYR6Q21VydFLVH3TRQUabQu_ym0Zz7PgGX0-kHA/edit?usp=sharing"",""แผน!FO84"")"),0)</f>
        <v>0</v>
      </c>
      <c r="J463" s="214">
        <v>0</v>
      </c>
      <c r="K463" s="497"/>
      <c r="L463" s="497"/>
      <c r="M463" s="497"/>
      <c r="N463" s="497"/>
      <c r="O463" s="497"/>
      <c r="P463" s="497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69">
        <f ca="1">IFERROR(__xludf.DUMMYFUNCTION("IMPORTRANGE(""https://docs.google.com/spreadsheets/d/1QqKyyYR6Q21VydFLVH3TRQUabQu_ym0Zz7PgGX0-kHA/edit?usp=sharing"",""แผน!FN84"")"),0)</f>
        <v>0</v>
      </c>
      <c r="J464" s="214">
        <v>0</v>
      </c>
      <c r="K464" s="497"/>
      <c r="L464" s="497"/>
      <c r="M464" s="497"/>
      <c r="N464" s="497"/>
      <c r="O464" s="497"/>
      <c r="P464" s="497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205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IFERROR(__xludf.DUMMYFUNCTION("IMPORTRANGE(""https://docs.google.com/spreadsheets/d/1QqKyyYR6Q21VydFLVH3TRQUabQu_ym0Zz7PgGX0-kHA/edit?usp=sharing"",""แผน!FX84"")"),11)</f>
        <v>11</v>
      </c>
      <c r="J465" s="589">
        <f>J485+J489+J492</f>
        <v>11</v>
      </c>
      <c r="K465" s="590">
        <f ca="1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IFERROR(__xludf.DUMMYFUNCTION("IMPORTRANGE(""https://docs.google.com/spreadsheets/d/1QqKyyYR6Q21VydFLVH3TRQUabQu_ym0Zz7PgGX0-kHA/edit?usp=sharing"",""แผน!FW84"")"),100)</f>
        <v>100</v>
      </c>
      <c r="J466" s="569">
        <f>J495+J498</f>
        <v>100</v>
      </c>
      <c r="K466" s="570">
        <f ca="1">IF(I466&gt;0,J466*100/I466,0)</f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87" t="s">
        <v>17</v>
      </c>
      <c r="E467" s="888"/>
      <c r="F467" s="888"/>
      <c r="G467" s="188"/>
      <c r="H467" s="597" t="s">
        <v>12</v>
      </c>
      <c r="I467" s="269"/>
      <c r="J467" s="269"/>
      <c r="K467" s="497"/>
      <c r="L467" s="194">
        <f ca="1">L468+L469</f>
        <v>98283</v>
      </c>
      <c r="M467" s="194">
        <f ca="1">M468+M469</f>
        <v>114463</v>
      </c>
      <c r="N467" s="194">
        <f>N468+N469</f>
        <v>114463</v>
      </c>
      <c r="O467" s="194">
        <f t="shared" ref="O467:O472" ca="1" si="78">IF(L467&gt;0,N467*100/L467,0)</f>
        <v>116.46266393984718</v>
      </c>
      <c r="P467" s="194">
        <f t="shared" ref="P467:P472" ca="1" si="79">IF(M467&gt;0,N467*100/M467,0)</f>
        <v>100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184</v>
      </c>
      <c r="F468" s="758"/>
      <c r="G468" s="602"/>
      <c r="H468" s="164" t="s">
        <v>12</v>
      </c>
      <c r="I468" s="616"/>
      <c r="J468" s="616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185</v>
      </c>
      <c r="F469" s="758"/>
      <c r="G469" s="602"/>
      <c r="H469" s="164" t="s">
        <v>12</v>
      </c>
      <c r="I469" s="616"/>
      <c r="J469" s="616"/>
      <c r="K469" s="92"/>
      <c r="L469" s="92">
        <f t="shared" ca="1" si="80"/>
        <v>98283</v>
      </c>
      <c r="M469" s="92">
        <f t="shared" ca="1" si="80"/>
        <v>114463</v>
      </c>
      <c r="N469" s="92">
        <f t="shared" si="80"/>
        <v>114463</v>
      </c>
      <c r="O469" s="92">
        <f t="shared" ca="1" si="78"/>
        <v>116.46266393984718</v>
      </c>
      <c r="P469" s="92">
        <f t="shared" ca="1" si="79"/>
        <v>100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8"/>
      <c r="H470" s="160" t="s">
        <v>12</v>
      </c>
      <c r="I470" s="183"/>
      <c r="J470" s="183"/>
      <c r="K470" s="162"/>
      <c r="L470" s="497">
        <f ca="1">L471+L472</f>
        <v>98283</v>
      </c>
      <c r="M470" s="497">
        <f ca="1">M471+M472</f>
        <v>114463</v>
      </c>
      <c r="N470" s="497">
        <f>N471+N472</f>
        <v>114463</v>
      </c>
      <c r="O470" s="497">
        <f t="shared" ca="1" si="78"/>
        <v>116.46266393984718</v>
      </c>
      <c r="P470" s="497">
        <f t="shared" ca="1" si="79"/>
        <v>100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184</v>
      </c>
      <c r="F471" s="758"/>
      <c r="G471" s="602"/>
      <c r="H471" s="164" t="s">
        <v>12</v>
      </c>
      <c r="I471" s="616"/>
      <c r="J471" s="616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185</v>
      </c>
      <c r="F472" s="758"/>
      <c r="G472" s="602"/>
      <c r="H472" s="164" t="s">
        <v>12</v>
      </c>
      <c r="I472" s="616"/>
      <c r="J472" s="616"/>
      <c r="K472" s="92"/>
      <c r="L472" s="92">
        <f ca="1">IFERROR(__xludf.DUMMYFUNCTION("IMPORTRANGE(""https://docs.google.com/spreadsheets/d/1QqKyyYR6Q21VydFLVH3TRQUabQu_ym0Zz7PgGX0-kHA/edit?usp=sharing"",""แผน!FS84"")"),98283)</f>
        <v>98283</v>
      </c>
      <c r="M472" s="92">
        <f ca="1">L472+16180</f>
        <v>114463</v>
      </c>
      <c r="N472" s="92">
        <f>N473+N474+N475+N476</f>
        <v>114463</v>
      </c>
      <c r="O472" s="92">
        <f t="shared" ca="1" si="78"/>
        <v>116.46266393984718</v>
      </c>
      <c r="P472" s="92">
        <f t="shared" ca="1" si="79"/>
        <v>100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826">
        <v>13053</v>
      </c>
      <c r="O473" s="497"/>
      <c r="P473" s="497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826">
        <v>66000</v>
      </c>
      <c r="O474" s="497"/>
      <c r="P474" s="497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826">
        <v>0</v>
      </c>
      <c r="O475" s="497"/>
      <c r="P475" s="497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826">
        <v>35410</v>
      </c>
      <c r="O476" s="497"/>
      <c r="P476" s="497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IFERROR(__xludf.DUMMYFUNCTION("IMPORTRANGE(""https://docs.google.com/spreadsheets/d/1QqKyyYR6Q21VydFLVH3TRQUabQu_ym0Zz7PgGX0-kHA/edit?usp=sharing"",""แผน!FV84"")"),0)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43" t="s">
        <v>38</v>
      </c>
      <c r="E480" s="610"/>
      <c r="F480" s="760"/>
      <c r="G480" s="612"/>
      <c r="H480" s="761"/>
      <c r="I480" s="269"/>
      <c r="J480" s="269"/>
      <c r="K480" s="497"/>
      <c r="L480" s="497"/>
      <c r="M480" s="497"/>
      <c r="N480" s="497"/>
      <c r="O480" s="497"/>
      <c r="P480" s="497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206</v>
      </c>
      <c r="E481" s="617"/>
      <c r="F481" s="617"/>
      <c r="G481" s="761"/>
      <c r="H481" s="188"/>
      <c r="I481" s="269"/>
      <c r="J481" s="269"/>
      <c r="K481" s="497"/>
      <c r="L481" s="497"/>
      <c r="M481" s="497"/>
      <c r="N481" s="497"/>
      <c r="O481" s="497"/>
      <c r="P481" s="497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207</v>
      </c>
      <c r="F482" s="617"/>
      <c r="G482" s="761"/>
      <c r="H482" s="188"/>
      <c r="I482" s="269"/>
      <c r="J482" s="269"/>
      <c r="K482" s="497"/>
      <c r="L482" s="497"/>
      <c r="M482" s="497"/>
      <c r="N482" s="497"/>
      <c r="O482" s="497"/>
      <c r="P482" s="497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208</v>
      </c>
      <c r="G483" s="761"/>
      <c r="H483" s="622" t="s">
        <v>46</v>
      </c>
      <c r="I483" s="269">
        <f ca="1">IFERROR(__xludf.DUMMYFUNCTION("IMPORTRANGE(""https://docs.google.com/spreadsheets/d/1QqKyyYR6Q21VydFLVH3TRQUabQu_ym0Zz7PgGX0-kHA/edit?usp=sharing"",""แผน!FY84"")"),90)</f>
        <v>90</v>
      </c>
      <c r="J483" s="214">
        <v>90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209</v>
      </c>
      <c r="G484" s="761"/>
      <c r="H484" s="622" t="s">
        <v>35</v>
      </c>
      <c r="I484" s="269"/>
      <c r="J484" s="214">
        <v>9</v>
      </c>
      <c r="K484" s="497"/>
      <c r="L484" s="497"/>
      <c r="M484" s="497"/>
      <c r="N484" s="497"/>
      <c r="O484" s="497"/>
      <c r="P484" s="497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210</v>
      </c>
      <c r="G485" s="761"/>
      <c r="H485" s="622" t="s">
        <v>35</v>
      </c>
      <c r="I485" s="269">
        <f ca="1">IFERROR(__xludf.DUMMYFUNCTION("IMPORTRANGE(""https://docs.google.com/spreadsheets/d/1QqKyyYR6Q21VydFLVH3TRQUabQu_ym0Zz7PgGX0-kHA/edit?usp=sharing"",""แผน!FZ84"")"),9)</f>
        <v>9</v>
      </c>
      <c r="J485" s="214">
        <v>9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69"/>
      <c r="J486" s="269"/>
      <c r="K486" s="497"/>
      <c r="L486" s="497"/>
      <c r="M486" s="497"/>
      <c r="N486" s="497"/>
      <c r="O486" s="497"/>
      <c r="P486" s="497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208</v>
      </c>
      <c r="G487" s="761"/>
      <c r="H487" s="622" t="s">
        <v>46</v>
      </c>
      <c r="I487" s="269">
        <f ca="1">IFERROR(__xludf.DUMMYFUNCTION("IMPORTRANGE(""https://docs.google.com/spreadsheets/d/1QqKyyYR6Q21VydFLVH3TRQUabQu_ym0Zz7PgGX0-kHA/edit?usp=sharing"",""แผน!GA84"")"),10)</f>
        <v>10</v>
      </c>
      <c r="J487" s="214">
        <v>10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211</v>
      </c>
      <c r="G488" s="761"/>
      <c r="H488" s="622" t="s">
        <v>35</v>
      </c>
      <c r="I488" s="269"/>
      <c r="J488" s="214">
        <v>1</v>
      </c>
      <c r="K488" s="497"/>
      <c r="L488" s="497"/>
      <c r="M488" s="497"/>
      <c r="N488" s="497"/>
      <c r="O488" s="497"/>
      <c r="P488" s="497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212</v>
      </c>
      <c r="G489" s="761"/>
      <c r="H489" s="622" t="s">
        <v>35</v>
      </c>
      <c r="I489" s="269">
        <f ca="1">IFERROR(__xludf.DUMMYFUNCTION("IMPORTRANGE(""https://docs.google.com/spreadsheets/d/1QqKyyYR6Q21VydFLVH3TRQUabQu_ym0Zz7PgGX0-kHA/edit?usp=sharing"",""แผน!GB84"")"),1)</f>
        <v>1</v>
      </c>
      <c r="J489" s="214">
        <v>1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69"/>
      <c r="J490" s="269"/>
      <c r="K490" s="497"/>
      <c r="L490" s="497"/>
      <c r="M490" s="497"/>
      <c r="N490" s="497"/>
      <c r="O490" s="497"/>
      <c r="P490" s="497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213</v>
      </c>
      <c r="G491" s="761"/>
      <c r="H491" s="622" t="s">
        <v>35</v>
      </c>
      <c r="I491" s="269"/>
      <c r="J491" s="214">
        <v>1</v>
      </c>
      <c r="K491" s="497"/>
      <c r="L491" s="497"/>
      <c r="M491" s="497"/>
      <c r="N491" s="497"/>
      <c r="O491" s="497"/>
      <c r="P491" s="497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214</v>
      </c>
      <c r="G492" s="761"/>
      <c r="H492" s="622" t="s">
        <v>35</v>
      </c>
      <c r="I492" s="269">
        <f ca="1">IFERROR(__xludf.DUMMYFUNCTION("IMPORTRANGE(""https://docs.google.com/spreadsheets/d/1QqKyyYR6Q21VydFLVH3TRQUabQu_ym0Zz7PgGX0-kHA/edit?usp=sharing"",""แผน!GC84"")"),1)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8"/>
      <c r="I493" s="269"/>
      <c r="J493" s="269"/>
      <c r="K493" s="497"/>
      <c r="L493" s="497"/>
      <c r="M493" s="497"/>
      <c r="N493" s="497"/>
      <c r="O493" s="497"/>
      <c r="P493" s="497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207</v>
      </c>
      <c r="F494" s="625"/>
      <c r="G494" s="761"/>
      <c r="H494" s="188"/>
      <c r="I494" s="269"/>
      <c r="J494" s="269"/>
      <c r="K494" s="497"/>
      <c r="L494" s="497"/>
      <c r="M494" s="497"/>
      <c r="N494" s="497"/>
      <c r="O494" s="497"/>
      <c r="P494" s="497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215</v>
      </c>
      <c r="G495" s="761"/>
      <c r="H495" s="622" t="s">
        <v>46</v>
      </c>
      <c r="I495" s="269">
        <f ca="1">IFERROR(__xludf.DUMMYFUNCTION("IMPORTRANGE(""https://docs.google.com/spreadsheets/d/1QqKyyYR6Q21VydFLVH3TRQUabQu_ym0Zz7PgGX0-kHA/edit?usp=sharing"",""แผน!FY84"")"),90)</f>
        <v>90</v>
      </c>
      <c r="J495" s="214">
        <v>90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216</v>
      </c>
      <c r="G496" s="761"/>
      <c r="H496" s="622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8"/>
      <c r="I497" s="269"/>
      <c r="J497" s="269"/>
      <c r="K497" s="497"/>
      <c r="L497" s="497"/>
      <c r="M497" s="497"/>
      <c r="N497" s="497"/>
      <c r="O497" s="497"/>
      <c r="P497" s="497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217</v>
      </c>
      <c r="G498" s="761"/>
      <c r="H498" s="622" t="s">
        <v>46</v>
      </c>
      <c r="I498" s="269">
        <f ca="1">IFERROR(__xludf.DUMMYFUNCTION("IMPORTRANGE(""https://docs.google.com/spreadsheets/d/1QqKyyYR6Q21VydFLVH3TRQUabQu_ym0Zz7PgGX0-kHA/edit?usp=sharing"",""แผน!GA84"")"),10)</f>
        <v>10</v>
      </c>
      <c r="J498" s="214">
        <v>10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218</v>
      </c>
      <c r="G499" s="761"/>
      <c r="H499" s="622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219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>J516</f>
        <v>0</v>
      </c>
      <c r="K500" s="633">
        <f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220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>J517</f>
        <v>0</v>
      </c>
      <c r="K501" s="642">
        <f>IF(I501&gt;0,J501*100/I501,0)</f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92" t="s">
        <v>17</v>
      </c>
      <c r="E502" s="888"/>
      <c r="F502" s="888"/>
      <c r="G502" s="602"/>
      <c r="H502" s="645" t="s">
        <v>12</v>
      </c>
      <c r="I502" s="616"/>
      <c r="J502" s="616"/>
      <c r="K502" s="92"/>
      <c r="L502" s="646">
        <f>L503+L504</f>
        <v>0</v>
      </c>
      <c r="M502" s="646">
        <f>M503+M504</f>
        <v>0</v>
      </c>
      <c r="N502" s="646">
        <f>N503+N504</f>
        <v>0</v>
      </c>
      <c r="O502" s="646">
        <f t="shared" ref="O502:O507" si="81">IF(L502&gt;0,N502*100/L502,0)</f>
        <v>0</v>
      </c>
      <c r="P502" s="646">
        <f t="shared" ref="P502:P507" si="82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184</v>
      </c>
      <c r="F503" s="758"/>
      <c r="G503" s="602"/>
      <c r="H503" s="164" t="s">
        <v>12</v>
      </c>
      <c r="I503" s="616"/>
      <c r="J503" s="616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185</v>
      </c>
      <c r="F504" s="758"/>
      <c r="G504" s="602"/>
      <c r="H504" s="164" t="s">
        <v>12</v>
      </c>
      <c r="I504" s="616"/>
      <c r="J504" s="616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184</v>
      </c>
      <c r="F506" s="758"/>
      <c r="G506" s="602"/>
      <c r="H506" s="164" t="s">
        <v>12</v>
      </c>
      <c r="I506" s="616"/>
      <c r="J506" s="616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185</v>
      </c>
      <c r="F507" s="758"/>
      <c r="G507" s="602"/>
      <c r="H507" s="164" t="s">
        <v>12</v>
      </c>
      <c r="I507" s="616"/>
      <c r="J507" s="616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186</v>
      </c>
      <c r="G508" s="602"/>
      <c r="H508" s="164" t="s">
        <v>12</v>
      </c>
      <c r="I508" s="616"/>
      <c r="J508" s="616"/>
      <c r="K508" s="92"/>
      <c r="L508" s="92"/>
      <c r="M508" s="92"/>
      <c r="N508" s="92">
        <v>0</v>
      </c>
      <c r="O508" s="92"/>
      <c r="P508" s="92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187</v>
      </c>
      <c r="G509" s="602"/>
      <c r="H509" s="164" t="s">
        <v>12</v>
      </c>
      <c r="I509" s="616"/>
      <c r="J509" s="616"/>
      <c r="K509" s="92"/>
      <c r="L509" s="92"/>
      <c r="M509" s="92"/>
      <c r="N509" s="92">
        <v>0</v>
      </c>
      <c r="O509" s="92"/>
      <c r="P509" s="92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188</v>
      </c>
      <c r="G510" s="602"/>
      <c r="H510" s="164" t="s">
        <v>12</v>
      </c>
      <c r="I510" s="616"/>
      <c r="J510" s="616"/>
      <c r="K510" s="92"/>
      <c r="L510" s="92"/>
      <c r="M510" s="92"/>
      <c r="N510" s="92">
        <v>0</v>
      </c>
      <c r="O510" s="92"/>
      <c r="P510" s="92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189</v>
      </c>
      <c r="G511" s="602"/>
      <c r="H511" s="164" t="s">
        <v>12</v>
      </c>
      <c r="I511" s="616"/>
      <c r="J511" s="616"/>
      <c r="K511" s="92"/>
      <c r="L511" s="92"/>
      <c r="M511" s="92"/>
      <c r="N511" s="92">
        <v>0</v>
      </c>
      <c r="O511" s="92"/>
      <c r="P511" s="92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42" t="s">
        <v>38</v>
      </c>
      <c r="E515" s="650"/>
      <c r="F515" s="650"/>
      <c r="G515" s="651"/>
      <c r="H515" s="365"/>
      <c r="I515" s="165"/>
      <c r="J515" s="165"/>
      <c r="K515" s="166"/>
      <c r="L515" s="166"/>
      <c r="M515" s="166"/>
      <c r="N515" s="166"/>
      <c r="O515" s="166"/>
      <c r="P515" s="166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221</v>
      </c>
      <c r="E516" s="719"/>
      <c r="F516" s="719"/>
      <c r="G516" s="365"/>
      <c r="H516" s="652" t="s">
        <v>109</v>
      </c>
      <c r="I516" s="616"/>
      <c r="J516" s="616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222</v>
      </c>
      <c r="E517" s="719"/>
      <c r="F517" s="719"/>
      <c r="G517" s="365"/>
      <c r="H517" s="653" t="s">
        <v>35</v>
      </c>
      <c r="I517" s="654"/>
      <c r="J517" s="654">
        <f>J518+J519</f>
        <v>0</v>
      </c>
      <c r="K517" s="655">
        <f>IF(I517&gt;0,J517*100/I517,0)</f>
        <v>0</v>
      </c>
      <c r="L517" s="166"/>
      <c r="M517" s="166"/>
      <c r="N517" s="166"/>
      <c r="O517" s="166"/>
      <c r="P517" s="166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223</v>
      </c>
      <c r="F518" s="719"/>
      <c r="G518" s="365"/>
      <c r="H518" s="369" t="s">
        <v>35</v>
      </c>
      <c r="I518" s="616"/>
      <c r="J518" s="616"/>
      <c r="K518" s="166"/>
      <c r="L518" s="166"/>
      <c r="M518" s="166"/>
      <c r="N518" s="166"/>
      <c r="O518" s="166"/>
      <c r="P518" s="166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224</v>
      </c>
      <c r="F519" s="719"/>
      <c r="G519" s="365"/>
      <c r="H519" s="652" t="s">
        <v>35</v>
      </c>
      <c r="I519" s="616"/>
      <c r="J519" s="616"/>
      <c r="K519" s="166"/>
      <c r="L519" s="166"/>
      <c r="M519" s="166"/>
      <c r="N519" s="166"/>
      <c r="O519" s="166"/>
      <c r="P519" s="166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225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226</v>
      </c>
      <c r="C522" s="672"/>
      <c r="D522" s="672"/>
      <c r="E522" s="672"/>
      <c r="F522" s="672"/>
      <c r="G522" s="673"/>
      <c r="H522" s="674" t="s">
        <v>35</v>
      </c>
      <c r="I522" s="707">
        <f ca="1">I537</f>
        <v>0</v>
      </c>
      <c r="J522" s="707">
        <f ca="1">J537</f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87" t="s">
        <v>17</v>
      </c>
      <c r="E523" s="888"/>
      <c r="F523" s="888"/>
      <c r="G523" s="188"/>
      <c r="H523" s="597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184</v>
      </c>
      <c r="F524" s="758"/>
      <c r="G524" s="602"/>
      <c r="H524" s="164" t="s">
        <v>12</v>
      </c>
      <c r="I524" s="616"/>
      <c r="J524" s="616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185</v>
      </c>
      <c r="F525" s="758"/>
      <c r="G525" s="602"/>
      <c r="H525" s="164" t="s">
        <v>12</v>
      </c>
      <c r="I525" s="616"/>
      <c r="J525" s="616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184</v>
      </c>
      <c r="F527" s="758"/>
      <c r="G527" s="602"/>
      <c r="H527" s="164" t="s">
        <v>12</v>
      </c>
      <c r="I527" s="616"/>
      <c r="J527" s="616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185</v>
      </c>
      <c r="F528" s="758"/>
      <c r="G528" s="602"/>
      <c r="H528" s="164" t="s">
        <v>12</v>
      </c>
      <c r="I528" s="616"/>
      <c r="J528" s="616"/>
      <c r="K528" s="92"/>
      <c r="L528" s="92">
        <f ca="1">IFERROR(__xludf.DUMMYFUNCTION("IMPORTRANGE(""https://docs.google.com/spreadsheets/d/1QqKyyYR6Q21VydFLVH3TRQUabQu_ym0Zz7PgGX0-kHA/edit?usp=sharing"",""แผน!GQ84"")"),0)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826">
        <v>0</v>
      </c>
      <c r="O529" s="497"/>
      <c r="P529" s="497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826">
        <v>0</v>
      </c>
      <c r="O530" s="497"/>
      <c r="P530" s="497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826">
        <v>0</v>
      </c>
      <c r="O531" s="497"/>
      <c r="P531" s="497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826">
        <v>0</v>
      </c>
      <c r="O532" s="497"/>
      <c r="P532" s="497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IFERROR(__xludf.DUMMYFUNCTION("IMPORTRANGE(""https://docs.google.com/spreadsheets/d/1QqKyyYR6Q21VydFLVH3TRQUabQu_ym0Zz7PgGX0-kHA/edit?usp=sharing"",""แผน!GT84"")"),0)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41" t="s">
        <v>38</v>
      </c>
      <c r="E536" s="760"/>
      <c r="F536" s="760"/>
      <c r="G536" s="612"/>
      <c r="H536" s="761"/>
      <c r="I536" s="183"/>
      <c r="J536" s="183"/>
      <c r="K536" s="162"/>
      <c r="L536" s="162"/>
      <c r="M536" s="162"/>
      <c r="N536" s="162"/>
      <c r="O536" s="162"/>
      <c r="P536" s="162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227</v>
      </c>
      <c r="E537" s="762"/>
      <c r="F537" s="762"/>
      <c r="G537" s="188"/>
      <c r="H537" s="622" t="s">
        <v>35</v>
      </c>
      <c r="I537" s="680">
        <f ca="1">IFERROR(__xludf.DUMMYFUNCTION("IMPORTRANGE(""https://docs.google.com/spreadsheets/d/1QqKyyYR6Q21VydFLVH3TRQUabQu_ym0Zz7PgGX0-kHA/edit?usp=sharing"",""แผน!GU84"")"),0)</f>
        <v>0</v>
      </c>
      <c r="J537" s="680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228</v>
      </c>
      <c r="F538" s="762"/>
      <c r="G538" s="188"/>
      <c r="H538" s="622" t="s">
        <v>35</v>
      </c>
      <c r="I538" s="269">
        <f ca="1">IFERROR(__xludf.DUMMYFUNCTION("IMPORTRANGE(""https://docs.google.com/spreadsheets/d/1QqKyyYR6Q21VydFLVH3TRQUabQu_ym0Zz7PgGX0-kHA/edit?usp=sharing"",""แผน!GV84"")"),0)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229</v>
      </c>
      <c r="F539" s="762"/>
      <c r="G539" s="188"/>
      <c r="H539" s="622" t="s">
        <v>35</v>
      </c>
      <c r="I539" s="269">
        <f ca="1">IFERROR(__xludf.DUMMYFUNCTION("IMPORTRANGE(""https://docs.google.com/spreadsheets/d/1QqKyyYR6Q21VydFLVH3TRQUabQu_ym0Zz7PgGX0-kHA/edit?usp=sharing"",""แผน!GW84"")"),0)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230</v>
      </c>
      <c r="F540" s="762"/>
      <c r="G540" s="188"/>
      <c r="H540" s="622" t="s">
        <v>35</v>
      </c>
      <c r="I540" s="269">
        <f ca="1">IFERROR(__xludf.DUMMYFUNCTION("IMPORTRANGE(""https://docs.google.com/spreadsheets/d/1QqKyyYR6Q21VydFLVH3TRQUabQu_ym0Zz7PgGX0-kHA/edit?usp=sharing"",""แผน!GX84"")"),0)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231</v>
      </c>
      <c r="F541" s="762"/>
      <c r="G541" s="188"/>
      <c r="H541" s="622" t="s">
        <v>35</v>
      </c>
      <c r="I541" s="269">
        <f ca="1">IFERROR(__xludf.DUMMYFUNCTION("IMPORTRANGE(""https://docs.google.com/spreadsheets/d/1QqKyyYR6Q21VydFLVH3TRQUabQu_ym0Zz7PgGX0-kHA/edit?usp=sharing"",""แผน!GY84"")"),0)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8"/>
      <c r="H542" s="622" t="s">
        <v>35</v>
      </c>
      <c r="I542" s="269">
        <f ca="1">IFERROR(__xludf.DUMMYFUNCTION("IMPORTRANGE(""https://docs.google.com/spreadsheets/d/1QqKyyYR6Q21VydFLVH3TRQUabQu_ym0Zz7PgGX0-kHA/edit?usp=sharing"",""แผน!GZ84"")"),0)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232</v>
      </c>
      <c r="C543" s="666"/>
      <c r="D543" s="666"/>
      <c r="E543" s="666"/>
      <c r="F543" s="666"/>
      <c r="G543" s="667"/>
      <c r="H543" s="685" t="s">
        <v>46</v>
      </c>
      <c r="I543" s="686">
        <f ca="1">I559</f>
        <v>6007.78</v>
      </c>
      <c r="J543" s="686">
        <f>J559</f>
        <v>6007.78</v>
      </c>
      <c r="K543" s="687">
        <f t="shared" ca="1" si="87"/>
        <v>100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911" t="s">
        <v>17</v>
      </c>
      <c r="E544" s="890"/>
      <c r="F544" s="890"/>
      <c r="G544" s="690"/>
      <c r="H544" s="274" t="s">
        <v>12</v>
      </c>
      <c r="I544" s="420"/>
      <c r="J544" s="420"/>
      <c r="K544" s="153"/>
      <c r="L544" s="154">
        <f ca="1">L545+L546</f>
        <v>231097</v>
      </c>
      <c r="M544" s="154">
        <f ca="1">M545+M546</f>
        <v>231097</v>
      </c>
      <c r="N544" s="154">
        <f>N545+N546</f>
        <v>231097</v>
      </c>
      <c r="O544" s="154">
        <f t="shared" ref="O544:O549" ca="1" si="88">IF(L544&gt;0,N544*100/L544,0)</f>
        <v>100</v>
      </c>
      <c r="P544" s="154">
        <f t="shared" ref="P544:P549" ca="1" si="89">IF(M544&gt;0,N544*100/M544,0)</f>
        <v>100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184</v>
      </c>
      <c r="F545" s="758"/>
      <c r="G545" s="602"/>
      <c r="H545" s="164" t="s">
        <v>12</v>
      </c>
      <c r="I545" s="616"/>
      <c r="J545" s="616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185</v>
      </c>
      <c r="F546" s="758"/>
      <c r="G546" s="602"/>
      <c r="H546" s="164" t="s">
        <v>12</v>
      </c>
      <c r="I546" s="616"/>
      <c r="J546" s="616"/>
      <c r="K546" s="92"/>
      <c r="L546" s="92">
        <f ca="1">L549+L557</f>
        <v>231097</v>
      </c>
      <c r="M546" s="92">
        <f ca="1">M549+M556</f>
        <v>231097</v>
      </c>
      <c r="N546" s="92">
        <f>N549+N556</f>
        <v>231097</v>
      </c>
      <c r="O546" s="92">
        <f t="shared" ca="1" si="88"/>
        <v>100</v>
      </c>
      <c r="P546" s="92">
        <f t="shared" ca="1" si="89"/>
        <v>100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8"/>
      <c r="H547" s="160" t="s">
        <v>12</v>
      </c>
      <c r="I547" s="183"/>
      <c r="J547" s="183"/>
      <c r="K547" s="162"/>
      <c r="L547" s="497">
        <f ca="1">L548+L549</f>
        <v>231097</v>
      </c>
      <c r="M547" s="497">
        <f ca="1">M548+M549</f>
        <v>231097</v>
      </c>
      <c r="N547" s="497">
        <f>N548+N549</f>
        <v>231097</v>
      </c>
      <c r="O547" s="497">
        <f t="shared" ca="1" si="88"/>
        <v>100</v>
      </c>
      <c r="P547" s="497">
        <f t="shared" ca="1" si="89"/>
        <v>100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184</v>
      </c>
      <c r="F548" s="758"/>
      <c r="G548" s="602"/>
      <c r="H548" s="164" t="s">
        <v>12</v>
      </c>
      <c r="I548" s="616"/>
      <c r="J548" s="616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185</v>
      </c>
      <c r="F549" s="758"/>
      <c r="G549" s="602"/>
      <c r="H549" s="164" t="s">
        <v>12</v>
      </c>
      <c r="I549" s="616"/>
      <c r="J549" s="616"/>
      <c r="K549" s="92"/>
      <c r="L549" s="92">
        <f ca="1">IFERROR(__xludf.DUMMYFUNCTION("IMPORTRANGE(""https://docs.google.com/spreadsheets/d/1QqKyyYR6Q21VydFLVH3TRQUabQu_ym0Zz7PgGX0-kHA/edit?usp=sharing"",""แผน!HB84"")"),231097)</f>
        <v>231097</v>
      </c>
      <c r="M549" s="92">
        <f ca="1">L549</f>
        <v>231097</v>
      </c>
      <c r="N549" s="92">
        <f>N550+N551+N552+N553+N554</f>
        <v>231097</v>
      </c>
      <c r="O549" s="92">
        <f t="shared" ca="1" si="88"/>
        <v>100</v>
      </c>
      <c r="P549" s="92">
        <f t="shared" ca="1" si="89"/>
        <v>100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826">
        <v>0</v>
      </c>
      <c r="O550" s="497"/>
      <c r="P550" s="497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826">
        <v>0</v>
      </c>
      <c r="O551" s="497"/>
      <c r="P551" s="497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826">
        <v>143000</v>
      </c>
      <c r="O552" s="497"/>
      <c r="P552" s="497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826">
        <v>88097</v>
      </c>
      <c r="O553" s="497"/>
      <c r="P553" s="497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826">
        <v>0</v>
      </c>
      <c r="O554" s="497"/>
      <c r="P554" s="497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IFERROR(__xludf.DUMMYFUNCTION("IMPORTRANGE(""https://docs.google.com/spreadsheets/d/1QqKyyYR6Q21VydFLVH3TRQUabQu_ym0Zz7PgGX0-kHA/edit?usp=sharing"",""แผน!HF84"")"),0)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41" t="s">
        <v>38</v>
      </c>
      <c r="E558" s="760"/>
      <c r="F558" s="760"/>
      <c r="G558" s="612"/>
      <c r="H558" s="761"/>
      <c r="I558" s="183"/>
      <c r="J558" s="183"/>
      <c r="K558" s="162"/>
      <c r="L558" s="162"/>
      <c r="M558" s="162"/>
      <c r="N558" s="162"/>
      <c r="O558" s="162"/>
      <c r="P558" s="162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234</v>
      </c>
      <c r="C559" s="693"/>
      <c r="D559" s="693"/>
      <c r="E559" s="672"/>
      <c r="F559" s="672"/>
      <c r="G559" s="673"/>
      <c r="H559" s="694" t="s">
        <v>46</v>
      </c>
      <c r="I559" s="707">
        <f ca="1">I576</f>
        <v>6007.78</v>
      </c>
      <c r="J559" s="707">
        <f>J576</f>
        <v>6007.78</v>
      </c>
      <c r="K559" s="676">
        <f ca="1">IF(I559&gt;0,J559*100/I559,0)</f>
        <v>100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235</v>
      </c>
      <c r="D560" s="617"/>
      <c r="E560" s="625"/>
      <c r="F560" s="625"/>
      <c r="G560" s="761"/>
      <c r="H560" s="766" t="s">
        <v>46</v>
      </c>
      <c r="I560" s="192">
        <f ca="1">IFERROR(__xludf.DUMMYFUNCTION("IMPORTRANGE(""https://docs.google.com/spreadsheets/d/1QqKyyYR6Q21VydFLVH3TRQUabQu_ym0Zz7PgGX0-kHA/edit?usp=sharing"",""แผน!HH84"")"),6007.78)</f>
        <v>6007.78</v>
      </c>
      <c r="J560" s="192">
        <f>J562+J564+J566</f>
        <v>6007</v>
      </c>
      <c r="K560" s="411">
        <f ca="1">IF(I560&gt;0,J560*100/I560,0)</f>
        <v>99.987016834837505</v>
      </c>
      <c r="L560" s="162"/>
      <c r="M560" s="162"/>
      <c r="N560" s="162"/>
      <c r="O560" s="162"/>
      <c r="P560" s="162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2">
        <f ca="1">IFERROR(__xludf.DUMMYFUNCTION("IMPORTRANGE(""https://docs.google.com/spreadsheets/d/1QqKyyYR6Q21VydFLVH3TRQUabQu_ym0Zz7PgGX0-kHA/edit?usp=sharing"",""แผน!HG84"")"),823)</f>
        <v>823</v>
      </c>
      <c r="J561" s="192">
        <f>J563+J565+J567</f>
        <v>823</v>
      </c>
      <c r="K561" s="411">
        <f ca="1">IF(I561&gt;0,J561*100/I561,0)</f>
        <v>100</v>
      </c>
      <c r="L561" s="162"/>
      <c r="M561" s="162"/>
      <c r="N561" s="162"/>
      <c r="O561" s="162"/>
      <c r="P561" s="162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236</v>
      </c>
      <c r="E562" s="625"/>
      <c r="F562" s="625"/>
      <c r="G562" s="761"/>
      <c r="H562" s="763" t="s">
        <v>46</v>
      </c>
      <c r="I562" s="183"/>
      <c r="J562" s="214">
        <v>5493</v>
      </c>
      <c r="K562" s="162"/>
      <c r="L562" s="162"/>
      <c r="M562" s="162"/>
      <c r="N562" s="162"/>
      <c r="O562" s="162"/>
      <c r="P562" s="162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3"/>
      <c r="J563" s="214">
        <v>756</v>
      </c>
      <c r="K563" s="162"/>
      <c r="L563" s="162"/>
      <c r="M563" s="162"/>
      <c r="N563" s="162"/>
      <c r="O563" s="162"/>
      <c r="P563" s="162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237</v>
      </c>
      <c r="E564" s="625"/>
      <c r="F564" s="625"/>
      <c r="G564" s="761"/>
      <c r="H564" s="763" t="s">
        <v>46</v>
      </c>
      <c r="I564" s="183"/>
      <c r="J564" s="214">
        <v>442</v>
      </c>
      <c r="K564" s="162"/>
      <c r="L564" s="162"/>
      <c r="M564" s="162"/>
      <c r="N564" s="162"/>
      <c r="O564" s="162"/>
      <c r="P564" s="162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3"/>
      <c r="J565" s="214">
        <v>57</v>
      </c>
      <c r="K565" s="162"/>
      <c r="L565" s="162"/>
      <c r="M565" s="162"/>
      <c r="N565" s="162"/>
      <c r="O565" s="162"/>
      <c r="P565" s="162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238</v>
      </c>
      <c r="E566" s="625"/>
      <c r="F566" s="625"/>
      <c r="G566" s="761"/>
      <c r="H566" s="763" t="s">
        <v>46</v>
      </c>
      <c r="I566" s="183"/>
      <c r="J566" s="214">
        <v>72</v>
      </c>
      <c r="K566" s="162"/>
      <c r="L566" s="162"/>
      <c r="M566" s="162"/>
      <c r="N566" s="162"/>
      <c r="O566" s="162"/>
      <c r="P566" s="162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3"/>
      <c r="J567" s="214">
        <v>10</v>
      </c>
      <c r="K567" s="162"/>
      <c r="L567" s="162"/>
      <c r="M567" s="162"/>
      <c r="N567" s="162"/>
      <c r="O567" s="162"/>
      <c r="P567" s="162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239</v>
      </c>
      <c r="D568" s="625"/>
      <c r="E568" s="625"/>
      <c r="F568" s="625"/>
      <c r="G568" s="761"/>
      <c r="H568" s="766" t="s">
        <v>46</v>
      </c>
      <c r="I568" s="192">
        <f ca="1">IFERROR(__xludf.DUMMYFUNCTION("IMPORTRANGE(""https://docs.google.com/spreadsheets/d/1QqKyyYR6Q21VydFLVH3TRQUabQu_ym0Zz7PgGX0-kHA/edit?usp=sharing"",""แผน!HH84"")"),6007.78)</f>
        <v>6007.78</v>
      </c>
      <c r="J568" s="680">
        <f>J570+J572+J574</f>
        <v>6007</v>
      </c>
      <c r="K568" s="411">
        <f ca="1">IF(I568&gt;0,J568*100/I568,0)</f>
        <v>99.987016834837505</v>
      </c>
      <c r="L568" s="162"/>
      <c r="M568" s="162"/>
      <c r="N568" s="162"/>
      <c r="O568" s="162"/>
      <c r="P568" s="162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2">
        <f ca="1">IFERROR(__xludf.DUMMYFUNCTION("IMPORTRANGE(""https://docs.google.com/spreadsheets/d/1QqKyyYR6Q21VydFLVH3TRQUabQu_ym0Zz7PgGX0-kHA/edit?usp=sharing"",""แผน!HG84"")"),823)</f>
        <v>823</v>
      </c>
      <c r="J569" s="680">
        <f>J571+J573+J575</f>
        <v>823</v>
      </c>
      <c r="K569" s="411">
        <f ca="1">IF(I569&gt;0,J569*100/I569,0)</f>
        <v>100</v>
      </c>
      <c r="L569" s="162"/>
      <c r="M569" s="162"/>
      <c r="N569" s="162"/>
      <c r="O569" s="162"/>
      <c r="P569" s="162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240</v>
      </c>
      <c r="E570" s="617"/>
      <c r="F570" s="625"/>
      <c r="G570" s="761"/>
      <c r="H570" s="763" t="s">
        <v>46</v>
      </c>
      <c r="I570" s="183"/>
      <c r="J570" s="214">
        <v>5493</v>
      </c>
      <c r="K570" s="162"/>
      <c r="L570" s="162"/>
      <c r="M570" s="162"/>
      <c r="N570" s="162"/>
      <c r="O570" s="162"/>
      <c r="P570" s="162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3"/>
      <c r="J571" s="214">
        <v>756</v>
      </c>
      <c r="K571" s="162"/>
      <c r="L571" s="162"/>
      <c r="M571" s="162"/>
      <c r="N571" s="162"/>
      <c r="O571" s="162"/>
      <c r="P571" s="162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241</v>
      </c>
      <c r="E572" s="625"/>
      <c r="F572" s="625"/>
      <c r="G572" s="761"/>
      <c r="H572" s="763" t="s">
        <v>46</v>
      </c>
      <c r="I572" s="183"/>
      <c r="J572" s="214">
        <v>442</v>
      </c>
      <c r="K572" s="162"/>
      <c r="L572" s="162"/>
      <c r="M572" s="162"/>
      <c r="N572" s="162"/>
      <c r="O572" s="162"/>
      <c r="P572" s="162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3"/>
      <c r="J573" s="214">
        <v>57</v>
      </c>
      <c r="K573" s="162"/>
      <c r="L573" s="162"/>
      <c r="M573" s="162"/>
      <c r="N573" s="162"/>
      <c r="O573" s="162"/>
      <c r="P573" s="162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242</v>
      </c>
      <c r="E574" s="625"/>
      <c r="F574" s="625"/>
      <c r="G574" s="761"/>
      <c r="H574" s="763" t="s">
        <v>46</v>
      </c>
      <c r="I574" s="183"/>
      <c r="J574" s="214">
        <v>72</v>
      </c>
      <c r="K574" s="162"/>
      <c r="L574" s="162"/>
      <c r="M574" s="162"/>
      <c r="N574" s="162"/>
      <c r="O574" s="162"/>
      <c r="P574" s="162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3"/>
      <c r="J575" s="214">
        <v>10</v>
      </c>
      <c r="K575" s="162"/>
      <c r="L575" s="162"/>
      <c r="M575" s="162"/>
      <c r="N575" s="162"/>
      <c r="O575" s="162"/>
      <c r="P575" s="162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243</v>
      </c>
      <c r="D576" s="617"/>
      <c r="E576" s="617"/>
      <c r="F576" s="625"/>
      <c r="G576" s="761"/>
      <c r="H576" s="766" t="s">
        <v>46</v>
      </c>
      <c r="I576" s="192">
        <f ca="1">IFERROR(__xludf.DUMMYFUNCTION("IMPORTRANGE(""https://docs.google.com/spreadsheets/d/1QqKyyYR6Q21VydFLVH3TRQUabQu_ym0Zz7PgGX0-kHA/edit?usp=sharing"",""แผน!HH84"")"),6007.78)</f>
        <v>6007.78</v>
      </c>
      <c r="J576" s="680">
        <f>J578+J580+J582+J588+J590</f>
        <v>6007.78</v>
      </c>
      <c r="K576" s="411">
        <f ca="1">IF(I576&gt;0,J576*100/I576,0)</f>
        <v>100</v>
      </c>
      <c r="L576" s="162"/>
      <c r="M576" s="162"/>
      <c r="N576" s="162"/>
      <c r="O576" s="162"/>
      <c r="P576" s="162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2">
        <f ca="1">IFERROR(__xludf.DUMMYFUNCTION("IMPORTRANGE(""https://docs.google.com/spreadsheets/d/1QqKyyYR6Q21VydFLVH3TRQUabQu_ym0Zz7PgGX0-kHA/edit?usp=sharing"",""แผน!HG84"")"),823)</f>
        <v>823</v>
      </c>
      <c r="J577" s="680">
        <f>J579+J581+J583+J589+J591</f>
        <v>823</v>
      </c>
      <c r="K577" s="411">
        <f ca="1">IF(I577&gt;0,J577*100/I577,0)</f>
        <v>100</v>
      </c>
      <c r="L577" s="162"/>
      <c r="M577" s="162"/>
      <c r="N577" s="162"/>
      <c r="O577" s="162"/>
      <c r="P577" s="162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244</v>
      </c>
      <c r="E578" s="625"/>
      <c r="F578" s="625"/>
      <c r="G578" s="761"/>
      <c r="H578" s="763" t="s">
        <v>46</v>
      </c>
      <c r="I578" s="183"/>
      <c r="J578" s="214">
        <v>5571.7574999999997</v>
      </c>
      <c r="K578" s="162"/>
      <c r="L578" s="162"/>
      <c r="M578" s="162"/>
      <c r="N578" s="162"/>
      <c r="O578" s="162"/>
      <c r="P578" s="162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3"/>
      <c r="J579" s="214">
        <v>762</v>
      </c>
      <c r="K579" s="162"/>
      <c r="L579" s="162"/>
      <c r="M579" s="162"/>
      <c r="N579" s="162"/>
      <c r="O579" s="162"/>
      <c r="P579" s="162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245</v>
      </c>
      <c r="E580" s="625"/>
      <c r="F580" s="625"/>
      <c r="G580" s="761"/>
      <c r="H580" s="763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246</v>
      </c>
      <c r="E582" s="625"/>
      <c r="F582" s="625"/>
      <c r="G582" s="761"/>
      <c r="H582" s="763" t="s">
        <v>46</v>
      </c>
      <c r="I582" s="183"/>
      <c r="J582" s="680">
        <f>J584+J586</f>
        <v>246.6875</v>
      </c>
      <c r="K582" s="411"/>
      <c r="L582" s="162"/>
      <c r="M582" s="162"/>
      <c r="N582" s="162"/>
      <c r="O582" s="162"/>
      <c r="P582" s="162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3"/>
      <c r="J583" s="680">
        <f>J585+J587</f>
        <v>40</v>
      </c>
      <c r="K583" s="411"/>
      <c r="L583" s="162"/>
      <c r="M583" s="162"/>
      <c r="N583" s="162"/>
      <c r="O583" s="162"/>
      <c r="P583" s="162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247</v>
      </c>
      <c r="F584" s="625"/>
      <c r="G584" s="761"/>
      <c r="H584" s="763" t="s">
        <v>46</v>
      </c>
      <c r="I584" s="183"/>
      <c r="J584" s="214">
        <v>246.6875</v>
      </c>
      <c r="K584" s="162"/>
      <c r="L584" s="162"/>
      <c r="M584" s="162"/>
      <c r="N584" s="162"/>
      <c r="O584" s="162"/>
      <c r="P584" s="162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3"/>
      <c r="J585" s="214">
        <v>40</v>
      </c>
      <c r="K585" s="162"/>
      <c r="L585" s="162"/>
      <c r="M585" s="162"/>
      <c r="N585" s="162"/>
      <c r="O585" s="162"/>
      <c r="P585" s="162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248</v>
      </c>
      <c r="F586" s="625"/>
      <c r="G586" s="761"/>
      <c r="H586" s="763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249</v>
      </c>
      <c r="E588" s="625"/>
      <c r="F588" s="625"/>
      <c r="G588" s="761"/>
      <c r="H588" s="763" t="s">
        <v>46</v>
      </c>
      <c r="I588" s="183"/>
      <c r="J588" s="214">
        <v>189.33500000000001</v>
      </c>
      <c r="K588" s="162"/>
      <c r="L588" s="162"/>
      <c r="M588" s="162"/>
      <c r="N588" s="162"/>
      <c r="O588" s="162"/>
      <c r="P588" s="162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3"/>
      <c r="J589" s="214">
        <v>21</v>
      </c>
      <c r="K589" s="162"/>
      <c r="L589" s="162"/>
      <c r="M589" s="162"/>
      <c r="N589" s="162"/>
      <c r="O589" s="162"/>
      <c r="P589" s="162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250</v>
      </c>
      <c r="E590" s="625"/>
      <c r="F590" s="625"/>
      <c r="G590" s="761"/>
      <c r="H590" s="763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251</v>
      </c>
      <c r="C592" s="693"/>
      <c r="D592" s="693"/>
      <c r="E592" s="672"/>
      <c r="F592" s="672"/>
      <c r="G592" s="673"/>
      <c r="H592" s="694" t="s">
        <v>46</v>
      </c>
      <c r="I592" s="702">
        <f ca="1">I593</f>
        <v>50.42</v>
      </c>
      <c r="J592" s="707">
        <f>J593</f>
        <v>50.42</v>
      </c>
      <c r="K592" s="676">
        <f ca="1">IF(I592&gt;0,J592*100/I592,0)</f>
        <v>100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252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IFERROR(__xludf.DUMMYFUNCTION("IMPORTRANGE(""https://docs.google.com/spreadsheets/d/1QqKyyYR6Q21VydFLVH3TRQUabQu_ym0Zz7PgGX0-kHA/edit?usp=sharing"",""แผน!HJ84"")"),50.42)</f>
        <v>50.42</v>
      </c>
      <c r="J593" s="192">
        <f>J595+J603+J609</f>
        <v>50.42</v>
      </c>
      <c r="K593" s="411">
        <f ca="1">IF(I593&gt;0,J593*100/I593,0)</f>
        <v>100</v>
      </c>
      <c r="L593" s="162"/>
      <c r="M593" s="162"/>
      <c r="N593" s="162"/>
      <c r="O593" s="162"/>
      <c r="P593" s="162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2">
        <f ca="1">IFERROR(__xludf.DUMMYFUNCTION("IMPORTRANGE(""https://docs.google.com/spreadsheets/d/1QqKyyYR6Q21VydFLVH3TRQUabQu_ym0Zz7PgGX0-kHA/edit?usp=sharing"",""แผน!HI84"")"),8)</f>
        <v>8</v>
      </c>
      <c r="J594" s="192">
        <f>J596+J604+J610</f>
        <v>8</v>
      </c>
      <c r="K594" s="411">
        <f ca="1">IF(I594&gt;0,J594*100/I594,0)</f>
        <v>100</v>
      </c>
      <c r="L594" s="162"/>
      <c r="M594" s="162"/>
      <c r="N594" s="162"/>
      <c r="O594" s="162"/>
      <c r="P594" s="162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253</v>
      </c>
      <c r="D595" s="617"/>
      <c r="E595" s="617"/>
      <c r="F595" s="625"/>
      <c r="G595" s="761"/>
      <c r="H595" s="763" t="s">
        <v>46</v>
      </c>
      <c r="I595" s="183"/>
      <c r="J595" s="183">
        <f>J597+J599</f>
        <v>50.42</v>
      </c>
      <c r="K595" s="162"/>
      <c r="L595" s="162"/>
      <c r="M595" s="162"/>
      <c r="N595" s="162"/>
      <c r="O595" s="162"/>
      <c r="P595" s="162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3"/>
      <c r="J596" s="183">
        <f>J598+J600</f>
        <v>8</v>
      </c>
      <c r="K596" s="162"/>
      <c r="L596" s="162"/>
      <c r="M596" s="162"/>
      <c r="N596" s="162"/>
      <c r="O596" s="162"/>
      <c r="P596" s="162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254</v>
      </c>
      <c r="E597" s="625"/>
      <c r="F597" s="625"/>
      <c r="G597" s="761"/>
      <c r="H597" s="763" t="s">
        <v>46</v>
      </c>
      <c r="I597" s="183"/>
      <c r="J597" s="214">
        <v>50.42</v>
      </c>
      <c r="K597" s="162"/>
      <c r="L597" s="162"/>
      <c r="M597" s="162"/>
      <c r="N597" s="162"/>
      <c r="O597" s="162"/>
      <c r="P597" s="162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69"/>
      <c r="J598" s="214">
        <v>8</v>
      </c>
      <c r="K598" s="162"/>
      <c r="L598" s="162"/>
      <c r="M598" s="162"/>
      <c r="N598" s="162"/>
      <c r="O598" s="162"/>
      <c r="P598" s="162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255</v>
      </c>
      <c r="E599" s="625"/>
      <c r="F599" s="625"/>
      <c r="G599" s="761"/>
      <c r="H599" s="763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256</v>
      </c>
      <c r="E601" s="625"/>
      <c r="F601" s="625"/>
      <c r="G601" s="761"/>
      <c r="H601" s="763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257</v>
      </c>
      <c r="D603" s="617"/>
      <c r="E603" s="617"/>
      <c r="F603" s="625"/>
      <c r="G603" s="761"/>
      <c r="H603" s="763" t="s">
        <v>46</v>
      </c>
      <c r="I603" s="269"/>
      <c r="J603" s="269">
        <f>J605+J607</f>
        <v>0</v>
      </c>
      <c r="K603" s="162"/>
      <c r="L603" s="162"/>
      <c r="M603" s="162"/>
      <c r="N603" s="162"/>
      <c r="O603" s="162"/>
      <c r="P603" s="162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69"/>
      <c r="J604" s="269">
        <f>J606+J608</f>
        <v>0</v>
      </c>
      <c r="K604" s="162"/>
      <c r="L604" s="162"/>
      <c r="M604" s="162"/>
      <c r="N604" s="162"/>
      <c r="O604" s="162"/>
      <c r="P604" s="162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258</v>
      </c>
      <c r="E605" s="625"/>
      <c r="F605" s="625"/>
      <c r="G605" s="761"/>
      <c r="H605" s="763" t="s">
        <v>46</v>
      </c>
      <c r="I605" s="269"/>
      <c r="J605" s="214">
        <v>0</v>
      </c>
      <c r="K605" s="162"/>
      <c r="L605" s="162"/>
      <c r="M605" s="162"/>
      <c r="N605" s="162"/>
      <c r="O605" s="162"/>
      <c r="P605" s="162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69"/>
      <c r="J606" s="214">
        <v>0</v>
      </c>
      <c r="K606" s="162"/>
      <c r="L606" s="162"/>
      <c r="M606" s="162"/>
      <c r="N606" s="162"/>
      <c r="O606" s="162"/>
      <c r="P606" s="162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259</v>
      </c>
      <c r="E607" s="617"/>
      <c r="F607" s="625"/>
      <c r="G607" s="761"/>
      <c r="H607" s="763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260</v>
      </c>
      <c r="D609" s="617"/>
      <c r="E609" s="617"/>
      <c r="F609" s="625"/>
      <c r="G609" s="761"/>
      <c r="H609" s="763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261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262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>J614+J616</f>
        <v>0</v>
      </c>
      <c r="K612" s="716">
        <f>IF(I612&gt;0,J612*100/I612,0)</f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263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>J615+J617</f>
        <v>0</v>
      </c>
      <c r="K613" s="716">
        <f>IF(I613&gt;0,J613*100/I613,0)</f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264</v>
      </c>
      <c r="E614" s="615"/>
      <c r="F614" s="719"/>
      <c r="G614" s="365"/>
      <c r="H614" s="369" t="s">
        <v>46</v>
      </c>
      <c r="I614" s="616"/>
      <c r="J614" s="616">
        <v>0</v>
      </c>
      <c r="K614" s="166"/>
      <c r="L614" s="166"/>
      <c r="M614" s="166"/>
      <c r="N614" s="166"/>
      <c r="O614" s="166"/>
      <c r="P614" s="166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5"/>
      <c r="H615" s="369" t="s">
        <v>34</v>
      </c>
      <c r="I615" s="616"/>
      <c r="J615" s="616">
        <v>0</v>
      </c>
      <c r="K615" s="166"/>
      <c r="L615" s="166"/>
      <c r="M615" s="166"/>
      <c r="N615" s="166"/>
      <c r="O615" s="166"/>
      <c r="P615" s="166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264</v>
      </c>
      <c r="E616" s="719"/>
      <c r="F616" s="719"/>
      <c r="G616" s="365"/>
      <c r="H616" s="369" t="s">
        <v>46</v>
      </c>
      <c r="I616" s="616"/>
      <c r="J616" s="616">
        <v>0</v>
      </c>
      <c r="K616" s="166"/>
      <c r="L616" s="166"/>
      <c r="M616" s="166"/>
      <c r="N616" s="166"/>
      <c r="O616" s="166"/>
      <c r="P616" s="166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5"/>
      <c r="H617" s="369" t="s">
        <v>34</v>
      </c>
      <c r="I617" s="616"/>
      <c r="J617" s="616">
        <v>0</v>
      </c>
      <c r="K617" s="166"/>
      <c r="L617" s="166"/>
      <c r="M617" s="166"/>
      <c r="N617" s="166"/>
      <c r="O617" s="166"/>
      <c r="P617" s="166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265</v>
      </c>
      <c r="E618" s="719"/>
      <c r="F618" s="719"/>
      <c r="G618" s="365"/>
      <c r="H618" s="369" t="s">
        <v>46</v>
      </c>
      <c r="I618" s="616"/>
      <c r="J618" s="616">
        <v>0</v>
      </c>
      <c r="K618" s="166"/>
      <c r="L618" s="166"/>
      <c r="M618" s="166"/>
      <c r="N618" s="166"/>
      <c r="O618" s="166"/>
      <c r="P618" s="166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5"/>
      <c r="H619" s="369" t="s">
        <v>34</v>
      </c>
      <c r="I619" s="616"/>
      <c r="J619" s="616">
        <v>0</v>
      </c>
      <c r="K619" s="166"/>
      <c r="L619" s="166"/>
      <c r="M619" s="166"/>
      <c r="N619" s="166"/>
      <c r="O619" s="166"/>
      <c r="P619" s="166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266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IFERROR(__xludf.DUMMYFUNCTION("IMPORTRANGE(""https://docs.google.com/spreadsheets/d/1QqKyyYR6Q21VydFLVH3TRQUabQu_ym0Zz7PgGX0-kHA/edit?usp=sharing"",""แผน!HL84"")"),0)</f>
        <v>0</v>
      </c>
      <c r="J620" s="727">
        <f>J622+J624+J626</f>
        <v>0</v>
      </c>
      <c r="K620" s="728">
        <f ca="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267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IFERROR(__xludf.DUMMYFUNCTION("IMPORTRANGE(""https://docs.google.com/spreadsheets/d/1QqKyyYR6Q21VydFLVH3TRQUabQu_ym0Zz7PgGX0-kHA/edit?usp=sharing"",""แผน!HK84"")"),0)</f>
        <v>0</v>
      </c>
      <c r="J621" s="727">
        <f>J623+J625+J627</f>
        <v>0</v>
      </c>
      <c r="K621" s="728">
        <f ca="1">IF(I621&gt;0,J621*100/I621,0)</f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268</v>
      </c>
      <c r="E622" s="625"/>
      <c r="F622" s="625"/>
      <c r="G622" s="761"/>
      <c r="H622" s="763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264</v>
      </c>
      <c r="E624" s="625"/>
      <c r="F624" s="625"/>
      <c r="G624" s="761"/>
      <c r="H624" s="763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269</v>
      </c>
      <c r="E626" s="625"/>
      <c r="F626" s="625"/>
      <c r="G626" s="761"/>
      <c r="H626" s="763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2" t="s">
        <v>34</v>
      </c>
      <c r="I627" s="505"/>
      <c r="J627" s="424">
        <v>0</v>
      </c>
      <c r="K627" s="384"/>
      <c r="L627" s="384"/>
      <c r="M627" s="384"/>
      <c r="N627" s="384"/>
      <c r="O627" s="384"/>
      <c r="P627" s="384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270</v>
      </c>
      <c r="C628" s="737"/>
      <c r="D628" s="737"/>
      <c r="E628" s="737"/>
      <c r="F628" s="737"/>
      <c r="G628" s="738"/>
      <c r="H628" s="739" t="s">
        <v>35</v>
      </c>
      <c r="I628" s="740">
        <f ca="1">I651</f>
        <v>89</v>
      </c>
      <c r="J628" s="740">
        <f ca="1">J651</f>
        <v>76</v>
      </c>
      <c r="K628" s="741">
        <f ca="1">IF(I628&gt;0,J628*100/I628,0)</f>
        <v>85.393258426966298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887" t="s">
        <v>17</v>
      </c>
      <c r="E629" s="888"/>
      <c r="F629" s="888"/>
      <c r="G629" s="188"/>
      <c r="H629" s="597" t="s">
        <v>12</v>
      </c>
      <c r="I629" s="269"/>
      <c r="J629" s="269"/>
      <c r="K629" s="497"/>
      <c r="L629" s="194">
        <f ca="1">L630+L631</f>
        <v>384755</v>
      </c>
      <c r="M629" s="194">
        <f ca="1">M630+M631</f>
        <v>298979.57</v>
      </c>
      <c r="N629" s="194">
        <f>N630+N631</f>
        <v>298979.57</v>
      </c>
      <c r="O629" s="194">
        <f t="shared" ref="O629:O634" ca="1" si="90">IF(L629&gt;0,N629*100/L629,0)</f>
        <v>77.706480747488655</v>
      </c>
      <c r="P629" s="194">
        <f t="shared" ref="P629:P634" ca="1" si="91">IF(M629&gt;0,N629*100/M629,0)</f>
        <v>100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184</v>
      </c>
      <c r="F630" s="758"/>
      <c r="G630" s="602"/>
      <c r="H630" s="164" t="s">
        <v>12</v>
      </c>
      <c r="I630" s="616"/>
      <c r="J630" s="616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185</v>
      </c>
      <c r="F631" s="758"/>
      <c r="G631" s="602"/>
      <c r="H631" s="164" t="s">
        <v>12</v>
      </c>
      <c r="I631" s="616"/>
      <c r="J631" s="616"/>
      <c r="K631" s="92"/>
      <c r="L631" s="92">
        <f t="shared" ca="1" si="92"/>
        <v>384755</v>
      </c>
      <c r="M631" s="92">
        <f t="shared" ca="1" si="92"/>
        <v>298979.57</v>
      </c>
      <c r="N631" s="92">
        <f t="shared" si="92"/>
        <v>298979.57</v>
      </c>
      <c r="O631" s="92">
        <f t="shared" ca="1" si="90"/>
        <v>77.706480747488655</v>
      </c>
      <c r="P631" s="92">
        <f t="shared" ca="1" si="91"/>
        <v>100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8"/>
      <c r="H632" s="160" t="s">
        <v>12</v>
      </c>
      <c r="I632" s="183"/>
      <c r="J632" s="183"/>
      <c r="K632" s="162"/>
      <c r="L632" s="497">
        <f ca="1">L633+L634</f>
        <v>384755</v>
      </c>
      <c r="M632" s="497">
        <f ca="1">M633+M634</f>
        <v>298979.57</v>
      </c>
      <c r="N632" s="497">
        <f>N633+N634</f>
        <v>298979.57</v>
      </c>
      <c r="O632" s="497">
        <f t="shared" ca="1" si="90"/>
        <v>77.706480747488655</v>
      </c>
      <c r="P632" s="497">
        <f t="shared" ca="1" si="91"/>
        <v>100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184</v>
      </c>
      <c r="F633" s="758"/>
      <c r="G633" s="602"/>
      <c r="H633" s="164" t="s">
        <v>12</v>
      </c>
      <c r="I633" s="616"/>
      <c r="J633" s="616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185</v>
      </c>
      <c r="F634" s="758"/>
      <c r="G634" s="602"/>
      <c r="H634" s="164" t="s">
        <v>12</v>
      </c>
      <c r="I634" s="616"/>
      <c r="J634" s="616"/>
      <c r="K634" s="92"/>
      <c r="L634" s="92">
        <f ca="1">IFERROR(__xludf.DUMMYFUNCTION("IMPORTRANGE(""https://docs.google.com/spreadsheets/d/1QqKyyYR6Q21VydFLVH3TRQUabQu_ym0Zz7PgGX0-kHA/edit?usp=sharing"",""แผน!HN84"")"),384755)</f>
        <v>384755</v>
      </c>
      <c r="M634" s="92">
        <f ca="1">L634-71859.34-13916.09</f>
        <v>298979.57</v>
      </c>
      <c r="N634" s="92">
        <f>N635+N636+N637+N638</f>
        <v>298979.57</v>
      </c>
      <c r="O634" s="92">
        <f t="shared" ca="1" si="90"/>
        <v>77.706480747488655</v>
      </c>
      <c r="P634" s="92">
        <f t="shared" ca="1" si="91"/>
        <v>100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826">
        <v>0</v>
      </c>
      <c r="O635" s="497"/>
      <c r="P635" s="497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826">
        <v>0</v>
      </c>
      <c r="O636" s="497"/>
      <c r="P636" s="497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826">
        <v>140022.57</v>
      </c>
      <c r="O637" s="497"/>
      <c r="P637" s="497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826">
        <v>158957</v>
      </c>
      <c r="O638" s="497"/>
      <c r="P638" s="497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IFERROR(__xludf.DUMMYFUNCTION("IMPORTRANGE(""https://docs.google.com/spreadsheets/d/1QqKyyYR6Q21VydFLVH3TRQUabQu_ym0Zz7PgGX0-kHA/edit?usp=sharing"",""แผน!HQ84"")"),0)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41" t="s">
        <v>38</v>
      </c>
      <c r="E642" s="760"/>
      <c r="F642" s="760"/>
      <c r="G642" s="612"/>
      <c r="H642" s="761"/>
      <c r="I642" s="183"/>
      <c r="J642" s="183"/>
      <c r="K642" s="162"/>
      <c r="L642" s="162"/>
      <c r="M642" s="162"/>
      <c r="N642" s="162"/>
      <c r="O642" s="162"/>
      <c r="P642" s="162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271</v>
      </c>
      <c r="F643" s="625"/>
      <c r="G643" s="761"/>
      <c r="H643" s="763" t="s">
        <v>272</v>
      </c>
      <c r="I643" s="269">
        <f ca="1">IFERROR(__xludf.DUMMYFUNCTION("IMPORTRANGE(""https://docs.google.com/spreadsheets/d/1QqKyyYR6Q21VydFLVH3TRQUabQu_ym0Zz7PgGX0-kHA/edit?usp=sharing"",""แผน!HR84"")"),2)</f>
        <v>2</v>
      </c>
      <c r="J643" s="214">
        <v>2</v>
      </c>
      <c r="K643" s="162">
        <f t="shared" ref="K643:K652" ca="1" si="93">IF(I643&gt;0,J643*100/I643,0)</f>
        <v>100</v>
      </c>
      <c r="L643" s="162"/>
      <c r="M643" s="162"/>
      <c r="N643" s="497"/>
      <c r="O643" s="162"/>
      <c r="P643" s="162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273</v>
      </c>
      <c r="F644" s="625"/>
      <c r="G644" s="761"/>
      <c r="H644" s="763" t="s">
        <v>274</v>
      </c>
      <c r="I644" s="269">
        <f ca="1">IFERROR(__xludf.DUMMYFUNCTION("IMPORTRANGE(""https://docs.google.com/spreadsheets/d/1QqKyyYR6Q21VydFLVH3TRQUabQu_ym0Zz7PgGX0-kHA/edit?usp=sharing"",""แผน!HR84"")"),2)</f>
        <v>2</v>
      </c>
      <c r="J644" s="214">
        <v>1</v>
      </c>
      <c r="K644" s="162">
        <f t="shared" ca="1" si="93"/>
        <v>50</v>
      </c>
      <c r="L644" s="162"/>
      <c r="M644" s="162"/>
      <c r="N644" s="497"/>
      <c r="O644" s="162"/>
      <c r="P644" s="162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275</v>
      </c>
      <c r="F645" s="625"/>
      <c r="G645" s="761"/>
      <c r="H645" s="763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IFERROR(__xludf.DUMMYFUNCTION("IMPORTRANGE(""https://docs.google.com/spreadsheets/d/1XWAQStnk-4SwqDmLtmXYiTMKHgktTP8We1SCoS47DrQ/edit?usp=sharing"",""จัดที่ดิน!AS84"")"),81)</f>
        <v>81</v>
      </c>
      <c r="K645" s="162">
        <f t="shared" si="93"/>
        <v>0</v>
      </c>
      <c r="L645" s="162"/>
      <c r="M645" s="162"/>
      <c r="N645" s="497"/>
      <c r="O645" s="162"/>
      <c r="P645" s="162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IFERROR(__xludf.DUMMYFUNCTION("IMPORTRANGE(""https://docs.google.com/spreadsheets/d/1XWAQStnk-4SwqDmLtmXYiTMKHgktTP8We1SCoS47DrQ/edit?usp=sharing"",""จัดที่ดิน!AT84"")"),23.25)</f>
        <v>23.25</v>
      </c>
      <c r="K646" s="497">
        <f t="shared" si="93"/>
        <v>0</v>
      </c>
      <c r="L646" s="162"/>
      <c r="M646" s="162"/>
      <c r="N646" s="497"/>
      <c r="O646" s="162"/>
      <c r="P646" s="162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69">
        <f ca="1">IFERROR(__xludf.DUMMYFUNCTION("IMPORTRANGE(""https://docs.google.com/spreadsheets/d/1QqKyyYR6Q21VydFLVH3TRQUabQu_ym0Zz7PgGX0-kHA/edit?usp=sharing"",""แผน!HS84"")"),89)</f>
        <v>89</v>
      </c>
      <c r="J647" s="269">
        <f ca="1">IFERROR(__xludf.DUMMYFUNCTION("IMPORTRANGE(""https://docs.google.com/spreadsheets/d/1XWAQStnk-4SwqDmLtmXYiTMKHgktTP8We1SCoS47DrQ/edit?usp=sharing"",""จัดที่ดิน!AU84"")"),76)</f>
        <v>76</v>
      </c>
      <c r="K647" s="162">
        <f t="shared" ca="1" si="93"/>
        <v>85.393258426966298</v>
      </c>
      <c r="L647" s="162"/>
      <c r="M647" s="162"/>
      <c r="N647" s="162"/>
      <c r="O647" s="162"/>
      <c r="P647" s="162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IFERROR(__xludf.DUMMYFUNCTION("IMPORTRANGE(""https://docs.google.com/spreadsheets/d/1XWAQStnk-4SwqDmLtmXYiTMKHgktTP8We1SCoS47DrQ/edit?usp=sharing"",""จัดที่ดิน!AV84"")"),23.25)</f>
        <v>23.25</v>
      </c>
      <c r="K648" s="497">
        <f t="shared" si="93"/>
        <v>0</v>
      </c>
      <c r="L648" s="162"/>
      <c r="M648" s="162"/>
      <c r="N648" s="162"/>
      <c r="O648" s="162"/>
      <c r="P648" s="162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276</v>
      </c>
      <c r="F649" s="625"/>
      <c r="G649" s="761"/>
      <c r="H649" s="763" t="s">
        <v>35</v>
      </c>
      <c r="I649" s="269">
        <f ca="1">IFERROR(__xludf.DUMMYFUNCTION("IMPORTRANGE(""https://docs.google.com/spreadsheets/d/1QqKyyYR6Q21VydFLVH3TRQUabQu_ym0Zz7PgGX0-kHA/edit?usp=sharing"",""แผน!HS84"")"),89)</f>
        <v>89</v>
      </c>
      <c r="J649" s="269">
        <f ca="1">IFERROR(__xludf.DUMMYFUNCTION("IMPORTRANGE(""https://docs.google.com/spreadsheets/d/1XWAQStnk-4SwqDmLtmXYiTMKHgktTP8We1SCoS47DrQ/edit?usp=sharing"",""จัดที่ดิน!AW84"")"),76)</f>
        <v>76</v>
      </c>
      <c r="K649" s="162">
        <f t="shared" ca="1" si="93"/>
        <v>85.393258426966298</v>
      </c>
      <c r="L649" s="162"/>
      <c r="M649" s="162"/>
      <c r="N649" s="162"/>
      <c r="O649" s="162"/>
      <c r="P649" s="162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IFERROR(__xludf.DUMMYFUNCTION("IMPORTRANGE(""https://docs.google.com/spreadsheets/d/1XWAQStnk-4SwqDmLtmXYiTMKHgktTP8We1SCoS47DrQ/edit?usp=sharing"",""จัดที่ดิน!AX84"")"),23.25)</f>
        <v>23.25</v>
      </c>
      <c r="K650" s="497">
        <f t="shared" si="93"/>
        <v>0</v>
      </c>
      <c r="L650" s="162"/>
      <c r="M650" s="162"/>
      <c r="N650" s="162"/>
      <c r="O650" s="162"/>
      <c r="P650" s="162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277</v>
      </c>
      <c r="F651" s="625"/>
      <c r="G651" s="761"/>
      <c r="H651" s="763" t="s">
        <v>35</v>
      </c>
      <c r="I651" s="269">
        <f ca="1">IFERROR(__xludf.DUMMYFUNCTION("IMPORTRANGE(""https://docs.google.com/spreadsheets/d/1QqKyyYR6Q21VydFLVH3TRQUabQu_ym0Zz7PgGX0-kHA/edit?usp=sharing"",""แผน!HS84"")"),89)</f>
        <v>89</v>
      </c>
      <c r="J651" s="269">
        <f ca="1">IFERROR(__xludf.DUMMYFUNCTION("IMPORTRANGE(""https://docs.google.com/spreadsheets/d/1XWAQStnk-4SwqDmLtmXYiTMKHgktTP8We1SCoS47DrQ/edit?usp=sharing"",""จัดที่ดิน!AY84"")"),76)</f>
        <v>76</v>
      </c>
      <c r="K651" s="162">
        <f t="shared" ca="1" si="93"/>
        <v>85.393258426966298</v>
      </c>
      <c r="L651" s="162"/>
      <c r="M651" s="162"/>
      <c r="N651" s="162"/>
      <c r="O651" s="162"/>
      <c r="P651" s="162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IFERROR(__xludf.DUMMYFUNCTION("IMPORTRANGE(""https://docs.google.com/spreadsheets/d/1XWAQStnk-4SwqDmLtmXYiTMKHgktTP8We1SCoS47DrQ/edit?usp=sharing"",""จัดที่ดิน!AZ84"")"),22.925)</f>
        <v>22.925000000000001</v>
      </c>
      <c r="K652" s="506">
        <f t="shared" si="93"/>
        <v>0</v>
      </c>
      <c r="L652" s="384"/>
      <c r="M652" s="384"/>
      <c r="N652" s="384"/>
      <c r="O652" s="384"/>
      <c r="P652" s="384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278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279</v>
      </c>
      <c r="C654" s="672"/>
      <c r="D654" s="672"/>
      <c r="E654" s="672"/>
      <c r="F654" s="672"/>
      <c r="G654" s="673"/>
      <c r="H654" s="706" t="s">
        <v>46</v>
      </c>
      <c r="I654" s="707">
        <f ca="1">I669</f>
        <v>50</v>
      </c>
      <c r="J654" s="707">
        <f>J669</f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887" t="s">
        <v>17</v>
      </c>
      <c r="E655" s="888"/>
      <c r="F655" s="888"/>
      <c r="G655" s="188"/>
      <c r="H655" s="597" t="s">
        <v>12</v>
      </c>
      <c r="I655" s="269"/>
      <c r="J655" s="269"/>
      <c r="K655" s="497"/>
      <c r="L655" s="194">
        <f ca="1">L656+L657</f>
        <v>9400</v>
      </c>
      <c r="M655" s="194">
        <f ca="1">M656+M657</f>
        <v>9400</v>
      </c>
      <c r="N655" s="194">
        <f>N656+N657</f>
        <v>9400</v>
      </c>
      <c r="O655" s="194">
        <f t="shared" ref="O655:O660" ca="1" si="94">IF(L655&gt;0,N655*100/L655,0)</f>
        <v>100</v>
      </c>
      <c r="P655" s="194">
        <f t="shared" ref="P655:P660" ca="1" si="95">IF(M655&gt;0,N655*100/M655,0)</f>
        <v>100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184</v>
      </c>
      <c r="F656" s="758"/>
      <c r="G656" s="602"/>
      <c r="H656" s="164" t="s">
        <v>12</v>
      </c>
      <c r="I656" s="616"/>
      <c r="J656" s="616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185</v>
      </c>
      <c r="F657" s="758"/>
      <c r="G657" s="602"/>
      <c r="H657" s="164" t="s">
        <v>12</v>
      </c>
      <c r="I657" s="616"/>
      <c r="J657" s="616"/>
      <c r="K657" s="92"/>
      <c r="L657" s="92">
        <f t="shared" ca="1" si="96"/>
        <v>9400</v>
      </c>
      <c r="M657" s="92">
        <f t="shared" ca="1" si="96"/>
        <v>9400</v>
      </c>
      <c r="N657" s="92">
        <f t="shared" si="96"/>
        <v>9400</v>
      </c>
      <c r="O657" s="92">
        <f t="shared" ca="1" si="94"/>
        <v>100</v>
      </c>
      <c r="P657" s="92">
        <f t="shared" ca="1" si="95"/>
        <v>100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8"/>
      <c r="H658" s="160" t="s">
        <v>12</v>
      </c>
      <c r="I658" s="183"/>
      <c r="J658" s="183"/>
      <c r="K658" s="162"/>
      <c r="L658" s="497">
        <f ca="1">L659+L660</f>
        <v>9400</v>
      </c>
      <c r="M658" s="497">
        <f ca="1">M659+M660</f>
        <v>9400</v>
      </c>
      <c r="N658" s="497">
        <f>N659+N660</f>
        <v>9400</v>
      </c>
      <c r="O658" s="497">
        <f t="shared" ca="1" si="94"/>
        <v>100</v>
      </c>
      <c r="P658" s="497">
        <f t="shared" ca="1" si="95"/>
        <v>100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184</v>
      </c>
      <c r="F659" s="758"/>
      <c r="G659" s="602"/>
      <c r="H659" s="164" t="s">
        <v>12</v>
      </c>
      <c r="I659" s="616"/>
      <c r="J659" s="616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185</v>
      </c>
      <c r="F660" s="758"/>
      <c r="G660" s="602"/>
      <c r="H660" s="164" t="s">
        <v>12</v>
      </c>
      <c r="I660" s="616"/>
      <c r="J660" s="616"/>
      <c r="K660" s="92"/>
      <c r="L660" s="92">
        <f ca="1">IFERROR(__xludf.DUMMYFUNCTION("IMPORTRANGE(""https://docs.google.com/spreadsheets/d/1QqKyyYR6Q21VydFLVH3TRQUabQu_ym0Zz7PgGX0-kHA/edit?usp=sharing"",""แผน!HV84"")"),9400)</f>
        <v>9400</v>
      </c>
      <c r="M660" s="92">
        <f ca="1">L660</f>
        <v>9400</v>
      </c>
      <c r="N660" s="92">
        <f>N661+N662+N663+N664</f>
        <v>9400</v>
      </c>
      <c r="O660" s="92">
        <f t="shared" ca="1" si="94"/>
        <v>100</v>
      </c>
      <c r="P660" s="92">
        <f t="shared" ca="1" si="95"/>
        <v>100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826">
        <v>0</v>
      </c>
      <c r="O661" s="497"/>
      <c r="P661" s="497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826">
        <v>0</v>
      </c>
      <c r="O662" s="497"/>
      <c r="P662" s="497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826">
        <v>0</v>
      </c>
      <c r="O663" s="497"/>
      <c r="P663" s="497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826">
        <v>9400</v>
      </c>
      <c r="O664" s="497"/>
      <c r="P664" s="497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40" t="s">
        <v>38</v>
      </c>
      <c r="E668" s="760"/>
      <c r="F668" s="760"/>
      <c r="G668" s="612"/>
      <c r="H668" s="761"/>
      <c r="I668" s="183"/>
      <c r="J668" s="183"/>
      <c r="K668" s="162"/>
      <c r="L668" s="162"/>
      <c r="M668" s="162"/>
      <c r="N668" s="162"/>
      <c r="O668" s="162"/>
      <c r="P668" s="162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280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IFERROR(__xludf.DUMMYFUNCTION("IMPORTRANGE(""https://docs.google.com/spreadsheets/d/1QqKyyYR6Q21VydFLVH3TRQUabQu_ym0Zz7PgGX0-kHA/edit?usp=sharing"",""แผน!IA84"")"),50)</f>
        <v>50</v>
      </c>
      <c r="J669" s="680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281</v>
      </c>
      <c r="F670" s="625"/>
      <c r="G670" s="761"/>
      <c r="H670" s="763" t="s">
        <v>66</v>
      </c>
      <c r="I670" s="269">
        <f ca="1">IFERROR(__xludf.DUMMYFUNCTION("IMPORTRANGE(""https://docs.google.com/spreadsheets/d/1QqKyyYR6Q21VydFLVH3TRQUabQu_ym0Zz7PgGX0-kHA/edit?usp=sharing"",""แผน!HZ84"")"),4)</f>
        <v>4</v>
      </c>
      <c r="J670" s="214">
        <v>4</v>
      </c>
      <c r="K670" s="497">
        <f ca="1">IF(I670&gt;0,(J670*100)/I670,0)</f>
        <v>100</v>
      </c>
      <c r="L670" s="162"/>
      <c r="M670" s="162"/>
      <c r="N670" s="162"/>
      <c r="O670" s="162"/>
      <c r="P670" s="162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282</v>
      </c>
      <c r="F671" s="625"/>
      <c r="G671" s="761"/>
      <c r="H671" s="763" t="s">
        <v>66</v>
      </c>
      <c r="I671" s="269">
        <f ca="1">IFERROR(__xludf.DUMMYFUNCTION("IMPORTRANGE(""https://docs.google.com/spreadsheets/d/1QqKyyYR6Q21VydFLVH3TRQUabQu_ym0Zz7PgGX0-kHA/edit?usp=sharing"",""แผน!HZ84"")"),4)</f>
        <v>4</v>
      </c>
      <c r="J671" s="214">
        <v>4</v>
      </c>
      <c r="K671" s="497">
        <f ca="1">IF(I$671&gt;0,J671*100/I$671,0)</f>
        <v>100</v>
      </c>
      <c r="L671" s="162"/>
      <c r="M671" s="162"/>
      <c r="N671" s="162"/>
      <c r="O671" s="162"/>
      <c r="P671" s="162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283</v>
      </c>
      <c r="F672" s="625"/>
      <c r="G672" s="761"/>
      <c r="H672" s="763" t="s">
        <v>46</v>
      </c>
      <c r="I672" s="269"/>
      <c r="J672" s="214">
        <v>202</v>
      </c>
      <c r="K672" s="497">
        <f ca="1">IF(I$669&gt;0,J672*100/I$669,0)</f>
        <v>404</v>
      </c>
      <c r="L672" s="162"/>
      <c r="M672" s="162"/>
      <c r="N672" s="162"/>
      <c r="O672" s="162"/>
      <c r="P672" s="162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284</v>
      </c>
      <c r="F673" s="625"/>
      <c r="G673" s="761"/>
      <c r="H673" s="763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285</v>
      </c>
      <c r="F674" s="625"/>
      <c r="G674" s="761"/>
      <c r="H674" s="763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286</v>
      </c>
      <c r="F675" s="625"/>
      <c r="G675" s="761"/>
      <c r="H675" s="763" t="s">
        <v>46</v>
      </c>
      <c r="I675" s="269"/>
      <c r="J675" s="680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287</v>
      </c>
      <c r="G676" s="761"/>
      <c r="H676" s="763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288</v>
      </c>
      <c r="G677" s="761"/>
      <c r="H677" s="763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289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IFERROR(__xludf.DUMMYFUNCTION("IMPORTRANGE(""https://docs.google.com/spreadsheets/d/1QqKyyYR6Q21VydFLVH3TRQUabQu_ym0Zz7PgGX0-kHA/edit?usp=sharing"",""แผน!IB84"")"),0)</f>
        <v>0</v>
      </c>
      <c r="J678" s="680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290</v>
      </c>
      <c r="F679" s="625"/>
      <c r="G679" s="761"/>
      <c r="H679" s="763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287</v>
      </c>
      <c r="G680" s="761"/>
      <c r="H680" s="763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288</v>
      </c>
      <c r="G681" s="761"/>
      <c r="H681" s="763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291</v>
      </c>
      <c r="F682" s="625"/>
      <c r="G682" s="761"/>
      <c r="H682" s="763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292</v>
      </c>
      <c r="G683" s="761"/>
      <c r="H683" s="763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293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87" t="s">
        <v>17</v>
      </c>
      <c r="E685" s="888"/>
      <c r="F685" s="888"/>
      <c r="G685" s="188"/>
      <c r="H685" s="597" t="s">
        <v>12</v>
      </c>
      <c r="I685" s="269"/>
      <c r="J685" s="269"/>
      <c r="K685" s="497"/>
      <c r="L685" s="194">
        <f ca="1">L686+L687</f>
        <v>0</v>
      </c>
      <c r="M685" s="194">
        <f>M686+M687</f>
        <v>0</v>
      </c>
      <c r="N685" s="194">
        <f>N686+N687</f>
        <v>0</v>
      </c>
      <c r="O685" s="194">
        <f ca="1">IF(L685&gt;0,N685*100/L685,0)</f>
        <v>0</v>
      </c>
      <c r="P685" s="194">
        <f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184</v>
      </c>
      <c r="F686" s="758"/>
      <c r="G686" s="602"/>
      <c r="H686" s="164" t="s">
        <v>12</v>
      </c>
      <c r="I686" s="616"/>
      <c r="J686" s="616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185</v>
      </c>
      <c r="F687" s="758"/>
      <c r="G687" s="602"/>
      <c r="H687" s="164" t="s">
        <v>12</v>
      </c>
      <c r="I687" s="616"/>
      <c r="J687" s="616"/>
      <c r="K687" s="92"/>
      <c r="L687" s="92">
        <f t="shared" ca="1" si="97"/>
        <v>0</v>
      </c>
      <c r="M687" s="92">
        <f t="shared" si="97"/>
        <v>0</v>
      </c>
      <c r="N687" s="92">
        <f t="shared" si="97"/>
        <v>0</v>
      </c>
      <c r="O687" s="92">
        <f ca="1">IF(L687&gt;0,N687*100/L687,0)</f>
        <v>0</v>
      </c>
      <c r="P687" s="92">
        <f>IF(M687&gt;0,N687*100/M687,0)</f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8"/>
      <c r="H688" s="160" t="s">
        <v>12</v>
      </c>
      <c r="I688" s="183"/>
      <c r="J688" s="183"/>
      <c r="K688" s="162"/>
      <c r="L688" s="497">
        <f ca="1">L689+L690</f>
        <v>0</v>
      </c>
      <c r="M688" s="497">
        <f>M689+M690</f>
        <v>0</v>
      </c>
      <c r="N688" s="497">
        <f>N689+N690</f>
        <v>0</v>
      </c>
      <c r="O688" s="497">
        <f ca="1">IF(L688&gt;0,N688*100/L688,0)</f>
        <v>0</v>
      </c>
      <c r="P688" s="497">
        <f>IF(M688&gt;0,N688*100/M688,0)</f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184</v>
      </c>
      <c r="F689" s="758"/>
      <c r="G689" s="602"/>
      <c r="H689" s="164" t="s">
        <v>12</v>
      </c>
      <c r="I689" s="616"/>
      <c r="J689" s="616"/>
      <c r="K689" s="92"/>
      <c r="L689" s="92">
        <v>0</v>
      </c>
      <c r="M689" s="92">
        <v>0</v>
      </c>
      <c r="N689" s="92">
        <v>0</v>
      </c>
      <c r="O689" s="92"/>
      <c r="P689" s="92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185</v>
      </c>
      <c r="F690" s="758"/>
      <c r="G690" s="602"/>
      <c r="H690" s="164" t="s">
        <v>12</v>
      </c>
      <c r="I690" s="616"/>
      <c r="J690" s="616"/>
      <c r="K690" s="92"/>
      <c r="L690" s="92">
        <f ca="1">IFERROR(__xludf.DUMMYFUNCTION("IMPORTRANGE(""https://docs.google.com/spreadsheets/d/1QqKyyYR6Q21VydFLVH3TRQUabQu_ym0Zz7PgGX0-kHA/edit?usp=sharing"",""แผน!HW84"")"),0)</f>
        <v>0</v>
      </c>
      <c r="M690" s="92">
        <v>0</v>
      </c>
      <c r="N690" s="92">
        <f>N691+N692+N693+N694</f>
        <v>0</v>
      </c>
      <c r="O690" s="92">
        <f ca="1">IF(L690&gt;0,N690*100/L690,0)</f>
        <v>0</v>
      </c>
      <c r="P690" s="92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826">
        <v>0</v>
      </c>
      <c r="O691" s="497"/>
      <c r="P691" s="497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826">
        <v>0</v>
      </c>
      <c r="O692" s="497"/>
      <c r="P692" s="497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826">
        <v>0</v>
      </c>
      <c r="O693" s="497"/>
      <c r="P693" s="497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826">
        <v>0</v>
      </c>
      <c r="O694" s="497"/>
      <c r="P694" s="497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38" t="s">
        <v>38</v>
      </c>
      <c r="E698" s="760"/>
      <c r="F698" s="760"/>
      <c r="G698" s="612"/>
      <c r="H698" s="761"/>
      <c r="I698" s="183"/>
      <c r="J698" s="183"/>
      <c r="K698" s="162"/>
      <c r="L698" s="162"/>
      <c r="M698" s="162"/>
      <c r="N698" s="162"/>
      <c r="O698" s="162"/>
      <c r="P698" s="162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294</v>
      </c>
      <c r="E699" s="762"/>
      <c r="F699" s="762"/>
      <c r="G699" s="188"/>
      <c r="H699" s="763" t="s">
        <v>46</v>
      </c>
      <c r="I699" s="764">
        <f ca="1">IFERROR(__xludf.DUMMYFUNCTION("IMPORTRANGE(""https://docs.google.com/spreadsheets/d/1QqKyyYR6Q21VydFLVH3TRQUabQu_ym0Zz7PgGX0-kHA/edit?usp=sharing"",""แผน!IC84"")"),0)</f>
        <v>0</v>
      </c>
      <c r="J699" s="269">
        <f ca="1">IFERROR(__xludf.DUMMYFUNCTION("IMPORTRANGE(""https://docs.google.com/spreadsheets/d/1XWAQStnk-4SwqDmLtmXYiTMKHgktTP8We1SCoS47DrQ/edit?usp=sharing"",""จัดที่ดิน!BB84"")"),0)</f>
        <v>0</v>
      </c>
      <c r="K699" s="497">
        <f ca="1">IF(I699&gt;0,J699*100/I699,0)</f>
        <v>0</v>
      </c>
      <c r="L699" s="497"/>
      <c r="M699" s="188"/>
      <c r="N699" s="765"/>
      <c r="O699" s="497"/>
      <c r="P699" s="497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295</v>
      </c>
      <c r="E700" s="762"/>
      <c r="F700" s="762"/>
      <c r="G700" s="188"/>
      <c r="H700" s="763" t="s">
        <v>35</v>
      </c>
      <c r="I700" s="764">
        <f ca="1">IFERROR(__xludf.DUMMYFUNCTION("IMPORTRANGE(""https://docs.google.com/spreadsheets/d/1QqKyyYR6Q21VydFLVH3TRQUabQu_ym0Zz7PgGX0-kHA/edit?usp=sharing"",""แผน!ID84"")"),0)</f>
        <v>0</v>
      </c>
      <c r="J700" s="269">
        <f ca="1">IFERROR(__xludf.DUMMYFUNCTION("IMPORTRANGE(""https://docs.google.com/spreadsheets/d/1XWAQStnk-4SwqDmLtmXYiTMKHgktTP8We1SCoS47DrQ/edit?usp=sharing"",""จัดที่ดิน!BD84"")"),0)</f>
        <v>0</v>
      </c>
      <c r="K700" s="497">
        <f ca="1">IF(I700&gt;0,J700*100/I700,0)</f>
        <v>0</v>
      </c>
      <c r="L700" s="497"/>
      <c r="M700" s="188"/>
      <c r="N700" s="765"/>
      <c r="O700" s="497"/>
      <c r="P700" s="497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296</v>
      </c>
      <c r="E701" s="762"/>
      <c r="F701" s="762"/>
      <c r="G701" s="188"/>
      <c r="H701" s="766" t="s">
        <v>46</v>
      </c>
      <c r="I701" s="767">
        <f ca="1">IFERROR(__xludf.DUMMYFUNCTION("IMPORTRANGE(""https://docs.google.com/spreadsheets/d/1QqKyyYR6Q21VydFLVH3TRQUabQu_ym0Zz7PgGX0-kHA/edit?usp=sharing"",""แผน!IE84"")"),0)</f>
        <v>0</v>
      </c>
      <c r="J701" s="680">
        <f>J704+J707</f>
        <v>0</v>
      </c>
      <c r="K701" s="194">
        <f ca="1">IF(I701&gt;0,J701*100/I701,0)</f>
        <v>0</v>
      </c>
      <c r="L701" s="497"/>
      <c r="M701" s="188"/>
      <c r="N701" s="765"/>
      <c r="O701" s="497"/>
      <c r="P701" s="497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297</v>
      </c>
      <c r="F702" s="762"/>
      <c r="G702" s="188"/>
      <c r="H702" s="763" t="s">
        <v>35</v>
      </c>
      <c r="I702" s="764"/>
      <c r="J702" s="214">
        <v>0</v>
      </c>
      <c r="K702" s="497"/>
      <c r="L702" s="497"/>
      <c r="M702" s="188"/>
      <c r="N702" s="765"/>
      <c r="O702" s="497"/>
      <c r="P702" s="497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8"/>
      <c r="H703" s="763" t="s">
        <v>34</v>
      </c>
      <c r="I703" s="764"/>
      <c r="J703" s="214">
        <v>0</v>
      </c>
      <c r="K703" s="497"/>
      <c r="L703" s="497"/>
      <c r="M703" s="188"/>
      <c r="N703" s="765"/>
      <c r="O703" s="497"/>
      <c r="P703" s="497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8"/>
      <c r="H704" s="763" t="s">
        <v>46</v>
      </c>
      <c r="I704" s="764">
        <f ca="1">IFERROR(__xludf.DUMMYFUNCTION("IMPORTRANGE(""https://docs.google.com/spreadsheets/d/1QqKyyYR6Q21VydFLVH3TRQUabQu_ym0Zz7PgGX0-kHA/edit?usp=sharing"",""แผน!IF84"")"),0)</f>
        <v>0</v>
      </c>
      <c r="J704" s="214">
        <v>0</v>
      </c>
      <c r="K704" s="497"/>
      <c r="L704" s="497"/>
      <c r="M704" s="188"/>
      <c r="N704" s="765"/>
      <c r="O704" s="497"/>
      <c r="P704" s="497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298</v>
      </c>
      <c r="F705" s="762"/>
      <c r="G705" s="188"/>
      <c r="H705" s="763" t="s">
        <v>35</v>
      </c>
      <c r="I705" s="764"/>
      <c r="J705" s="214">
        <v>0</v>
      </c>
      <c r="K705" s="497"/>
      <c r="L705" s="497"/>
      <c r="M705" s="188"/>
      <c r="N705" s="765"/>
      <c r="O705" s="497"/>
      <c r="P705" s="497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8"/>
      <c r="H706" s="763" t="s">
        <v>34</v>
      </c>
      <c r="I706" s="764"/>
      <c r="J706" s="214">
        <v>0</v>
      </c>
      <c r="K706" s="497"/>
      <c r="L706" s="497"/>
      <c r="M706" s="188"/>
      <c r="N706" s="765"/>
      <c r="O706" s="497"/>
      <c r="P706" s="497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8"/>
      <c r="H707" s="763" t="s">
        <v>46</v>
      </c>
      <c r="I707" s="764">
        <f ca="1">IFERROR(__xludf.DUMMYFUNCTION("IMPORTRANGE(""https://docs.google.com/spreadsheets/d/1QqKyyYR6Q21VydFLVH3TRQUabQu_ym0Zz7PgGX0-kHA/edit?usp=sharing"",""แผน!IG84"")"),0)</f>
        <v>0</v>
      </c>
      <c r="J707" s="214">
        <v>0</v>
      </c>
      <c r="K707" s="497"/>
      <c r="L707" s="497"/>
      <c r="M707" s="188"/>
      <c r="N707" s="765"/>
      <c r="O707" s="497"/>
      <c r="P707" s="497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299</v>
      </c>
      <c r="E708" s="762"/>
      <c r="F708" s="762"/>
      <c r="G708" s="188"/>
      <c r="H708" s="766" t="s">
        <v>46</v>
      </c>
      <c r="I708" s="767">
        <f ca="1">IFERROR(__xludf.DUMMYFUNCTION("IMPORTRANGE(""https://docs.google.com/spreadsheets/d/1QqKyyYR6Q21VydFLVH3TRQUabQu_ym0Zz7PgGX0-kHA/edit?usp=sharing"",""แผน!IH84"")"),0)</f>
        <v>0</v>
      </c>
      <c r="J708" s="680">
        <f>J714+J717</f>
        <v>0</v>
      </c>
      <c r="K708" s="194">
        <f ca="1">IF(I708&gt;0,J708*100/I708,0)</f>
        <v>0</v>
      </c>
      <c r="L708" s="497"/>
      <c r="M708" s="188"/>
      <c r="N708" s="765"/>
      <c r="O708" s="497"/>
      <c r="P708" s="497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300</v>
      </c>
      <c r="F709" s="762"/>
      <c r="G709" s="188"/>
      <c r="H709" s="763" t="s">
        <v>34</v>
      </c>
      <c r="I709" s="764"/>
      <c r="J709" s="214">
        <v>0</v>
      </c>
      <c r="K709" s="497"/>
      <c r="L709" s="765"/>
      <c r="M709" s="188"/>
      <c r="N709" s="765"/>
      <c r="O709" s="497"/>
      <c r="P709" s="497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8"/>
      <c r="H710" s="763" t="s">
        <v>46</v>
      </c>
      <c r="I710" s="764"/>
      <c r="J710" s="214">
        <v>0</v>
      </c>
      <c r="K710" s="497"/>
      <c r="L710" s="765"/>
      <c r="M710" s="188"/>
      <c r="N710" s="765"/>
      <c r="O710" s="497"/>
      <c r="P710" s="497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301</v>
      </c>
      <c r="F711" s="762"/>
      <c r="G711" s="188"/>
      <c r="H711" s="761"/>
      <c r="I711" s="764"/>
      <c r="J711" s="269"/>
      <c r="K711" s="497"/>
      <c r="L711" s="765"/>
      <c r="M711" s="188"/>
      <c r="N711" s="765"/>
      <c r="O711" s="497"/>
      <c r="P711" s="497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302</v>
      </c>
      <c r="G712" s="188"/>
      <c r="H712" s="763" t="s">
        <v>35</v>
      </c>
      <c r="I712" s="764"/>
      <c r="J712" s="214">
        <v>0</v>
      </c>
      <c r="K712" s="497"/>
      <c r="L712" s="765"/>
      <c r="M712" s="188"/>
      <c r="N712" s="765"/>
      <c r="O712" s="497"/>
      <c r="P712" s="497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8"/>
      <c r="H713" s="763" t="s">
        <v>34</v>
      </c>
      <c r="I713" s="764"/>
      <c r="J713" s="214">
        <v>0</v>
      </c>
      <c r="K713" s="497"/>
      <c r="L713" s="765"/>
      <c r="M713" s="188"/>
      <c r="N713" s="765"/>
      <c r="O713" s="497"/>
      <c r="P713" s="497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8"/>
      <c r="H714" s="763" t="s">
        <v>46</v>
      </c>
      <c r="I714" s="764"/>
      <c r="J714" s="214">
        <v>0</v>
      </c>
      <c r="K714" s="497"/>
      <c r="L714" s="765"/>
      <c r="M714" s="188"/>
      <c r="N714" s="765"/>
      <c r="O714" s="497"/>
      <c r="P714" s="497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303</v>
      </c>
      <c r="G715" s="188"/>
      <c r="H715" s="763" t="s">
        <v>35</v>
      </c>
      <c r="I715" s="764"/>
      <c r="J715" s="214">
        <v>0</v>
      </c>
      <c r="K715" s="497"/>
      <c r="L715" s="765"/>
      <c r="M715" s="188"/>
      <c r="N715" s="765"/>
      <c r="O715" s="497"/>
      <c r="P715" s="497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8"/>
      <c r="H716" s="763" t="s">
        <v>34</v>
      </c>
      <c r="I716" s="764"/>
      <c r="J716" s="214">
        <v>0</v>
      </c>
      <c r="K716" s="497"/>
      <c r="L716" s="765"/>
      <c r="M716" s="188"/>
      <c r="N716" s="765"/>
      <c r="O716" s="497"/>
      <c r="P716" s="497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8"/>
      <c r="H717" s="763" t="s">
        <v>46</v>
      </c>
      <c r="I717" s="764"/>
      <c r="J717" s="214">
        <v>0</v>
      </c>
      <c r="K717" s="497"/>
      <c r="L717" s="765"/>
      <c r="M717" s="188"/>
      <c r="N717" s="765"/>
      <c r="O717" s="497"/>
      <c r="P717" s="497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304</v>
      </c>
      <c r="E718" s="762"/>
      <c r="F718" s="762"/>
      <c r="G718" s="188"/>
      <c r="H718" s="763" t="s">
        <v>35</v>
      </c>
      <c r="I718" s="764"/>
      <c r="J718" s="269">
        <f ca="1">IFERROR(__xludf.DUMMYFUNCTION("IMPORTRANGE(""https://docs.google.com/spreadsheets/d/1XWAQStnk-4SwqDmLtmXYiTMKHgktTP8We1SCoS47DrQ/edit?usp=sharing"",""จัดที่ดิน!BF84"")"),0)</f>
        <v>0</v>
      </c>
      <c r="K718" s="497"/>
      <c r="L718" s="497"/>
      <c r="M718" s="188"/>
      <c r="N718" s="765"/>
      <c r="O718" s="497"/>
      <c r="P718" s="497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8"/>
      <c r="H719" s="763" t="s">
        <v>34</v>
      </c>
      <c r="I719" s="764"/>
      <c r="J719" s="269">
        <f ca="1">IFERROR(__xludf.DUMMYFUNCTION("IMPORTRANGE(""https://docs.google.com/spreadsheets/d/1XWAQStnk-4SwqDmLtmXYiTMKHgktTP8We1SCoS47DrQ/edit?usp=sharing"",""จัดที่ดิน!BG84"")"),0)</f>
        <v>0</v>
      </c>
      <c r="K719" s="497"/>
      <c r="L719" s="765"/>
      <c r="M719" s="188"/>
      <c r="N719" s="765"/>
      <c r="O719" s="497"/>
      <c r="P719" s="497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8"/>
      <c r="H720" s="763" t="s">
        <v>46</v>
      </c>
      <c r="I720" s="764">
        <f ca="1">IFERROR(__xludf.DUMMYFUNCTION("IMPORTRANGE(""https://docs.google.com/spreadsheets/d/1QqKyyYR6Q21VydFLVH3TRQUabQu_ym0Zz7PgGX0-kHA/edit?usp=sharing"",""แผน!II84"")"),0)</f>
        <v>0</v>
      </c>
      <c r="J720" s="269">
        <f ca="1">IFERROR(__xludf.DUMMYFUNCTION("IMPORTRANGE(""https://docs.google.com/spreadsheets/d/1XWAQStnk-4SwqDmLtmXYiTMKHgktTP8We1SCoS47DrQ/edit?usp=sharing"",""จัดที่ดิน!BH84"")"),0)</f>
        <v>0</v>
      </c>
      <c r="K720" s="497">
        <f ca="1">IF(I720&gt;0,J720*100/I720,0)</f>
        <v>0</v>
      </c>
      <c r="L720" s="765"/>
      <c r="M720" s="188"/>
      <c r="N720" s="765"/>
      <c r="O720" s="497"/>
      <c r="P720" s="497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305</v>
      </c>
      <c r="E721" s="762"/>
      <c r="F721" s="762"/>
      <c r="G721" s="188"/>
      <c r="H721" s="766" t="s">
        <v>35</v>
      </c>
      <c r="I721" s="767">
        <f ca="1">IFERROR(__xludf.DUMMYFUNCTION("IMPORTRANGE(""https://docs.google.com/spreadsheets/d/1QqKyyYR6Q21VydFLVH3TRQUabQu_ym0Zz7PgGX0-kHA/edit?usp=sharing"",""แผน!IJ84"")"),0)</f>
        <v>0</v>
      </c>
      <c r="J721" s="680">
        <f ca="1">J723+J726</f>
        <v>0</v>
      </c>
      <c r="K721" s="194">
        <f ca="1">IF(I721&gt;0,J721*100/I721,0)</f>
        <v>0</v>
      </c>
      <c r="L721" s="765"/>
      <c r="M721" s="188"/>
      <c r="N721" s="765"/>
      <c r="O721" s="497"/>
      <c r="P721" s="497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8"/>
      <c r="H722" s="766" t="s">
        <v>46</v>
      </c>
      <c r="I722" s="767">
        <f ca="1">IFERROR(__xludf.DUMMYFUNCTION("IMPORTRANGE(""https://docs.google.com/spreadsheets/d/1QqKyyYR6Q21VydFLVH3TRQUabQu_ym0Zz7PgGX0-kHA/edit?usp=sharing"",""แผน!IK84"")"),0)</f>
        <v>0</v>
      </c>
      <c r="J722" s="680">
        <f ca="1">J725+J728</f>
        <v>0</v>
      </c>
      <c r="K722" s="194">
        <f ca="1">IF(I722&gt;0,J722*100/I722,0)</f>
        <v>0</v>
      </c>
      <c r="L722" s="497"/>
      <c r="M722" s="188"/>
      <c r="N722" s="765"/>
      <c r="O722" s="497"/>
      <c r="P722" s="497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306</v>
      </c>
      <c r="F723" s="762"/>
      <c r="G723" s="188"/>
      <c r="H723" s="763" t="s">
        <v>35</v>
      </c>
      <c r="I723" s="764">
        <f ca="1">IFERROR(__xludf.DUMMYFUNCTION("IMPORTRANGE(""https://docs.google.com/spreadsheets/d/1QqKyyYR6Q21VydFLVH3TRQUabQu_ym0Zz7PgGX0-kHA/edit?usp=sharing"",""แผน!IL84"")"),0)</f>
        <v>0</v>
      </c>
      <c r="J723" s="269">
        <f ca="1">IFERROR(__xludf.DUMMYFUNCTION("IMPORTRANGE(""https://docs.google.com/spreadsheets/d/1XWAQStnk-4SwqDmLtmXYiTMKHgktTP8We1SCoS47DrQ/edit?usp=sharing"",""จัดที่ดิน!BM84"")"),0)</f>
        <v>0</v>
      </c>
      <c r="K723" s="497">
        <f ca="1">IF(I723&gt;0,J723*100/I723,0)</f>
        <v>0</v>
      </c>
      <c r="L723" s="497"/>
      <c r="M723" s="188"/>
      <c r="N723" s="765"/>
      <c r="O723" s="497"/>
      <c r="P723" s="497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8"/>
      <c r="H724" s="763" t="s">
        <v>34</v>
      </c>
      <c r="I724" s="764"/>
      <c r="J724" s="269">
        <f ca="1">IFERROR(__xludf.DUMMYFUNCTION("IMPORTRANGE(""https://docs.google.com/spreadsheets/d/1XWAQStnk-4SwqDmLtmXYiTMKHgktTP8We1SCoS47DrQ/edit?usp=sharing"",""จัดที่ดิน!BN84"")"),0)</f>
        <v>0</v>
      </c>
      <c r="K724" s="497"/>
      <c r="L724" s="765"/>
      <c r="M724" s="188"/>
      <c r="N724" s="765"/>
      <c r="O724" s="497"/>
      <c r="P724" s="497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8"/>
      <c r="H725" s="763" t="s">
        <v>46</v>
      </c>
      <c r="I725" s="764">
        <f ca="1">IFERROR(__xludf.DUMMYFUNCTION("IMPORTRANGE(""https://docs.google.com/spreadsheets/d/1QqKyyYR6Q21VydFLVH3TRQUabQu_ym0Zz7PgGX0-kHA/edit?usp=sharing"",""แผน!IM84"")"),0)</f>
        <v>0</v>
      </c>
      <c r="J725" s="269">
        <f ca="1">IFERROR(__xludf.DUMMYFUNCTION("IMPORTRANGE(""https://docs.google.com/spreadsheets/d/1XWAQStnk-4SwqDmLtmXYiTMKHgktTP8We1SCoS47DrQ/edit?usp=sharing"",""จัดที่ดิน!BO84"")"),0)</f>
        <v>0</v>
      </c>
      <c r="K725" s="497">
        <f ca="1">IF(I725&gt;0,J725*100/I725,0)</f>
        <v>0</v>
      </c>
      <c r="L725" s="765"/>
      <c r="M725" s="188"/>
      <c r="N725" s="765"/>
      <c r="O725" s="497"/>
      <c r="P725" s="497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307</v>
      </c>
      <c r="F726" s="762"/>
      <c r="G726" s="188"/>
      <c r="H726" s="763" t="s">
        <v>35</v>
      </c>
      <c r="I726" s="764">
        <f ca="1">IFERROR(__xludf.DUMMYFUNCTION("IMPORTRANGE(""https://docs.google.com/spreadsheets/d/1QqKyyYR6Q21VydFLVH3TRQUabQu_ym0Zz7PgGX0-kHA/edit?usp=sharing"",""แผน!IN84"")"),0)</f>
        <v>0</v>
      </c>
      <c r="J726" s="269">
        <f ca="1">IFERROR(__xludf.DUMMYFUNCTION("IMPORTRANGE(""https://docs.google.com/spreadsheets/d/1XWAQStnk-4SwqDmLtmXYiTMKHgktTP8We1SCoS47DrQ/edit?usp=sharing"",""จัดที่ดิน!BR84"")"),0)</f>
        <v>0</v>
      </c>
      <c r="K726" s="497">
        <f ca="1">IF(I726&gt;0,J726*100/I726,0)</f>
        <v>0</v>
      </c>
      <c r="L726" s="497"/>
      <c r="M726" s="188"/>
      <c r="N726" s="765"/>
      <c r="O726" s="497"/>
      <c r="P726" s="497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8"/>
      <c r="H727" s="763" t="s">
        <v>34</v>
      </c>
      <c r="I727" s="764"/>
      <c r="J727" s="269">
        <f ca="1">IFERROR(__xludf.DUMMYFUNCTION("IMPORTRANGE(""https://docs.google.com/spreadsheets/d/1XWAQStnk-4SwqDmLtmXYiTMKHgktTP8We1SCoS47DrQ/edit?usp=sharing"",""จัดที่ดิน!BS84"")"),0)</f>
        <v>0</v>
      </c>
      <c r="K727" s="497"/>
      <c r="L727" s="765"/>
      <c r="M727" s="188"/>
      <c r="N727" s="765"/>
      <c r="O727" s="497"/>
      <c r="P727" s="497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8"/>
      <c r="H728" s="763" t="s">
        <v>46</v>
      </c>
      <c r="I728" s="764">
        <f ca="1">IFERROR(__xludf.DUMMYFUNCTION("IMPORTRANGE(""https://docs.google.com/spreadsheets/d/1QqKyyYR6Q21VydFLVH3TRQUabQu_ym0Zz7PgGX0-kHA/edit?usp=sharing"",""แผน!IO84"")"),0)</f>
        <v>0</v>
      </c>
      <c r="J728" s="269">
        <f ca="1">IFERROR(__xludf.DUMMYFUNCTION("IMPORTRANGE(""https://docs.google.com/spreadsheets/d/1XWAQStnk-4SwqDmLtmXYiTMKHgktTP8We1SCoS47DrQ/edit?usp=sharing"",""จัดที่ดิน!BT84"")"),0)</f>
        <v>0</v>
      </c>
      <c r="K728" s="497">
        <f ca="1">IF(I728&gt;0,J728*100/I728,0)</f>
        <v>0</v>
      </c>
      <c r="L728" s="765"/>
      <c r="M728" s="188"/>
      <c r="N728" s="765"/>
      <c r="O728" s="497"/>
      <c r="P728" s="497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308</v>
      </c>
      <c r="E729" s="762"/>
      <c r="F729" s="762"/>
      <c r="G729" s="188"/>
      <c r="H729" s="766" t="s">
        <v>46</v>
      </c>
      <c r="I729" s="767">
        <f ca="1">IFERROR(__xludf.DUMMYFUNCTION("IMPORTRANGE(""https://docs.google.com/spreadsheets/d/1QqKyyYR6Q21VydFLVH3TRQUabQu_ym0Zz7PgGX0-kHA/edit?usp=sharing"",""แผน!IP84"")"),0)</f>
        <v>0</v>
      </c>
      <c r="J729" s="680">
        <f>J732+J735</f>
        <v>0</v>
      </c>
      <c r="K729" s="194">
        <f ca="1">IF(I729&gt;0,J729*100/I729,0)</f>
        <v>0</v>
      </c>
      <c r="L729" s="497"/>
      <c r="M729" s="188"/>
      <c r="N729" s="765"/>
      <c r="O729" s="497"/>
      <c r="P729" s="497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309</v>
      </c>
      <c r="F730" s="762"/>
      <c r="G730" s="188"/>
      <c r="H730" s="763" t="s">
        <v>35</v>
      </c>
      <c r="I730" s="764"/>
      <c r="J730" s="214">
        <v>0</v>
      </c>
      <c r="K730" s="497"/>
      <c r="L730" s="765"/>
      <c r="M730" s="497"/>
      <c r="N730" s="765"/>
      <c r="O730" s="497"/>
      <c r="P730" s="497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8"/>
      <c r="H731" s="763" t="s">
        <v>34</v>
      </c>
      <c r="I731" s="764"/>
      <c r="J731" s="214">
        <v>0</v>
      </c>
      <c r="K731" s="497"/>
      <c r="L731" s="765"/>
      <c r="M731" s="497"/>
      <c r="N731" s="765"/>
      <c r="O731" s="497"/>
      <c r="P731" s="497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8"/>
      <c r="H732" s="763" t="s">
        <v>46</v>
      </c>
      <c r="I732" s="764"/>
      <c r="J732" s="214">
        <v>0</v>
      </c>
      <c r="K732" s="497"/>
      <c r="L732" s="765"/>
      <c r="M732" s="497"/>
      <c r="N732" s="765"/>
      <c r="O732" s="497"/>
      <c r="P732" s="497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310</v>
      </c>
      <c r="F733" s="762"/>
      <c r="G733" s="188"/>
      <c r="H733" s="763" t="s">
        <v>35</v>
      </c>
      <c r="I733" s="764"/>
      <c r="J733" s="214">
        <v>0</v>
      </c>
      <c r="K733" s="497"/>
      <c r="L733" s="765"/>
      <c r="M733" s="497"/>
      <c r="N733" s="765"/>
      <c r="O733" s="497"/>
      <c r="P733" s="497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8"/>
      <c r="H734" s="763" t="s">
        <v>34</v>
      </c>
      <c r="I734" s="764"/>
      <c r="J734" s="214">
        <v>0</v>
      </c>
      <c r="K734" s="497"/>
      <c r="L734" s="765"/>
      <c r="M734" s="497"/>
      <c r="N734" s="765"/>
      <c r="O734" s="497"/>
      <c r="P734" s="497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311</v>
      </c>
      <c r="C735" s="733"/>
      <c r="D735" s="733"/>
      <c r="E735" s="733"/>
      <c r="F735" s="733"/>
      <c r="G735" s="734"/>
      <c r="H735" s="422" t="s">
        <v>46</v>
      </c>
      <c r="I735" s="771"/>
      <c r="J735" s="424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312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92" t="s">
        <v>17</v>
      </c>
      <c r="E737" s="888"/>
      <c r="F737" s="888"/>
      <c r="G737" s="602"/>
      <c r="H737" s="645" t="s">
        <v>12</v>
      </c>
      <c r="I737" s="616"/>
      <c r="J737" s="616"/>
      <c r="K737" s="92"/>
      <c r="L737" s="646">
        <f>L738+L739</f>
        <v>0</v>
      </c>
      <c r="M737" s="646">
        <f>M738+M739</f>
        <v>0</v>
      </c>
      <c r="N737" s="646">
        <f>N738+N739</f>
        <v>0</v>
      </c>
      <c r="O737" s="646">
        <f t="shared" ref="O737:O742" si="98">IF(L737&gt;0,N737*100/L737,0)</f>
        <v>0</v>
      </c>
      <c r="P737" s="646">
        <f t="shared" ref="P737:P742" si="99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184</v>
      </c>
      <c r="F738" s="758"/>
      <c r="G738" s="602"/>
      <c r="H738" s="164" t="s">
        <v>12</v>
      </c>
      <c r="I738" s="616"/>
      <c r="J738" s="616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185</v>
      </c>
      <c r="F739" s="758"/>
      <c r="G739" s="602"/>
      <c r="H739" s="164" t="s">
        <v>12</v>
      </c>
      <c r="I739" s="616"/>
      <c r="J739" s="616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5"/>
      <c r="J740" s="165"/>
      <c r="K740" s="166"/>
      <c r="L740" s="646">
        <f>L741+L742</f>
        <v>0</v>
      </c>
      <c r="M740" s="646">
        <f>M741+M742</f>
        <v>0</v>
      </c>
      <c r="N740" s="646">
        <f>N741+N742</f>
        <v>0</v>
      </c>
      <c r="O740" s="646">
        <f t="shared" si="98"/>
        <v>0</v>
      </c>
      <c r="P740" s="646">
        <f t="shared" si="99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184</v>
      </c>
      <c r="F741" s="758"/>
      <c r="G741" s="602"/>
      <c r="H741" s="164" t="s">
        <v>12</v>
      </c>
      <c r="I741" s="616"/>
      <c r="J741" s="616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185</v>
      </c>
      <c r="F742" s="758"/>
      <c r="G742" s="602"/>
      <c r="H742" s="164" t="s">
        <v>12</v>
      </c>
      <c r="I742" s="616"/>
      <c r="J742" s="616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186</v>
      </c>
      <c r="G743" s="602"/>
      <c r="H743" s="164" t="s">
        <v>12</v>
      </c>
      <c r="I743" s="616"/>
      <c r="J743" s="616"/>
      <c r="K743" s="92"/>
      <c r="L743" s="92"/>
      <c r="M743" s="92"/>
      <c r="N743" s="92"/>
      <c r="O743" s="92"/>
      <c r="P743" s="92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187</v>
      </c>
      <c r="G744" s="602"/>
      <c r="H744" s="164" t="s">
        <v>12</v>
      </c>
      <c r="I744" s="616"/>
      <c r="J744" s="616"/>
      <c r="K744" s="92"/>
      <c r="L744" s="92"/>
      <c r="M744" s="92"/>
      <c r="N744" s="92"/>
      <c r="O744" s="92"/>
      <c r="P744" s="92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188</v>
      </c>
      <c r="G745" s="602"/>
      <c r="H745" s="164" t="s">
        <v>12</v>
      </c>
      <c r="I745" s="616"/>
      <c r="J745" s="616"/>
      <c r="K745" s="92"/>
      <c r="L745" s="92"/>
      <c r="M745" s="92"/>
      <c r="N745" s="92"/>
      <c r="O745" s="92"/>
      <c r="P745" s="92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189</v>
      </c>
      <c r="G746" s="602"/>
      <c r="H746" s="164" t="s">
        <v>12</v>
      </c>
      <c r="I746" s="616"/>
      <c r="J746" s="616"/>
      <c r="K746" s="92"/>
      <c r="L746" s="92"/>
      <c r="M746" s="92"/>
      <c r="N746" s="92"/>
      <c r="O746" s="92"/>
      <c r="P746" s="92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5"/>
      <c r="J747" s="165"/>
      <c r="K747" s="166"/>
      <c r="L747" s="646">
        <f>L748+L749</f>
        <v>0</v>
      </c>
      <c r="M747" s="646">
        <f>M748+M749</f>
        <v>0</v>
      </c>
      <c r="N747" s="646">
        <f>N748+N749</f>
        <v>0</v>
      </c>
      <c r="O747" s="646">
        <f>IF(L747&gt;0,N747*100/L747,0)</f>
        <v>0</v>
      </c>
      <c r="P747" s="646">
        <f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39" t="s">
        <v>38</v>
      </c>
      <c r="E750" s="650"/>
      <c r="F750" s="650"/>
      <c r="G750" s="651"/>
      <c r="H750" s="365"/>
      <c r="I750" s="165"/>
      <c r="J750" s="165"/>
      <c r="K750" s="166"/>
      <c r="L750" s="166"/>
      <c r="M750" s="166"/>
      <c r="N750" s="166"/>
      <c r="O750" s="166"/>
      <c r="P750" s="166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313</v>
      </c>
      <c r="F751" s="758"/>
      <c r="G751" s="602"/>
      <c r="H751" s="164" t="s">
        <v>46</v>
      </c>
      <c r="I751" s="616"/>
      <c r="J751" s="616"/>
      <c r="K751" s="92"/>
      <c r="L751" s="92"/>
      <c r="M751" s="92"/>
      <c r="N751" s="92"/>
      <c r="O751" s="92"/>
      <c r="P751" s="92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4" t="s">
        <v>314</v>
      </c>
      <c r="I752" s="616"/>
      <c r="J752" s="616"/>
      <c r="K752" s="92"/>
      <c r="L752" s="92"/>
      <c r="M752" s="92"/>
      <c r="N752" s="92"/>
      <c r="O752" s="92"/>
      <c r="P752" s="92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315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92" t="s">
        <v>17</v>
      </c>
      <c r="E754" s="888"/>
      <c r="F754" s="888"/>
      <c r="G754" s="602"/>
      <c r="H754" s="645" t="s">
        <v>12</v>
      </c>
      <c r="I754" s="616"/>
      <c r="J754" s="616"/>
      <c r="K754" s="92"/>
      <c r="L754" s="646">
        <f>L755+L756</f>
        <v>0</v>
      </c>
      <c r="M754" s="646">
        <f>M755+M756</f>
        <v>0</v>
      </c>
      <c r="N754" s="646">
        <f>N755+N756</f>
        <v>0</v>
      </c>
      <c r="O754" s="646">
        <f t="shared" ref="O754:O759" si="101">IF(L754&gt;0,N754*100/L754,0)</f>
        <v>0</v>
      </c>
      <c r="P754" s="646">
        <f t="shared" ref="P754:P759" si="102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184</v>
      </c>
      <c r="F755" s="758"/>
      <c r="G755" s="602"/>
      <c r="H755" s="164" t="s">
        <v>12</v>
      </c>
      <c r="I755" s="616"/>
      <c r="J755" s="616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185</v>
      </c>
      <c r="F756" s="758"/>
      <c r="G756" s="602"/>
      <c r="H756" s="164" t="s">
        <v>12</v>
      </c>
      <c r="I756" s="616"/>
      <c r="J756" s="616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5"/>
      <c r="J757" s="165"/>
      <c r="K757" s="166"/>
      <c r="L757" s="646">
        <f>L758+L759</f>
        <v>0</v>
      </c>
      <c r="M757" s="646">
        <f>M758+M759</f>
        <v>0</v>
      </c>
      <c r="N757" s="646">
        <f>N758+N759</f>
        <v>0</v>
      </c>
      <c r="O757" s="646">
        <f t="shared" si="101"/>
        <v>0</v>
      </c>
      <c r="P757" s="646">
        <f t="shared" si="102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184</v>
      </c>
      <c r="F758" s="758"/>
      <c r="G758" s="602"/>
      <c r="H758" s="164" t="s">
        <v>12</v>
      </c>
      <c r="I758" s="616"/>
      <c r="J758" s="616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185</v>
      </c>
      <c r="F759" s="758"/>
      <c r="G759" s="602"/>
      <c r="H759" s="164" t="s">
        <v>12</v>
      </c>
      <c r="I759" s="616"/>
      <c r="J759" s="616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186</v>
      </c>
      <c r="G760" s="602"/>
      <c r="H760" s="164" t="s">
        <v>12</v>
      </c>
      <c r="I760" s="616"/>
      <c r="J760" s="616"/>
      <c r="K760" s="92"/>
      <c r="L760" s="92"/>
      <c r="M760" s="92"/>
      <c r="N760" s="92"/>
      <c r="O760" s="92"/>
      <c r="P760" s="92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187</v>
      </c>
      <c r="G761" s="602"/>
      <c r="H761" s="164" t="s">
        <v>12</v>
      </c>
      <c r="I761" s="616"/>
      <c r="J761" s="616"/>
      <c r="K761" s="92"/>
      <c r="L761" s="92"/>
      <c r="M761" s="92"/>
      <c r="N761" s="92"/>
      <c r="O761" s="92"/>
      <c r="P761" s="92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188</v>
      </c>
      <c r="G762" s="602"/>
      <c r="H762" s="164" t="s">
        <v>12</v>
      </c>
      <c r="I762" s="616"/>
      <c r="J762" s="616"/>
      <c r="K762" s="92"/>
      <c r="L762" s="92"/>
      <c r="M762" s="92"/>
      <c r="N762" s="92"/>
      <c r="O762" s="92"/>
      <c r="P762" s="92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189</v>
      </c>
      <c r="G763" s="602"/>
      <c r="H763" s="164" t="s">
        <v>12</v>
      </c>
      <c r="I763" s="616"/>
      <c r="J763" s="616"/>
      <c r="K763" s="92"/>
      <c r="L763" s="92"/>
      <c r="M763" s="92"/>
      <c r="N763" s="92"/>
      <c r="O763" s="92"/>
      <c r="P763" s="92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5"/>
      <c r="J764" s="165"/>
      <c r="K764" s="166"/>
      <c r="L764" s="646">
        <f>L765+L766</f>
        <v>0</v>
      </c>
      <c r="M764" s="646">
        <f>M765+M766</f>
        <v>0</v>
      </c>
      <c r="N764" s="646">
        <f>N765+N766</f>
        <v>0</v>
      </c>
      <c r="O764" s="646">
        <f>IF(L764&gt;0,N764*100/L764,0)</f>
        <v>0</v>
      </c>
      <c r="P764" s="646">
        <f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39" t="s">
        <v>38</v>
      </c>
      <c r="E767" s="650"/>
      <c r="F767" s="650"/>
      <c r="G767" s="651"/>
      <c r="H767" s="365"/>
      <c r="I767" s="165"/>
      <c r="J767" s="165"/>
      <c r="K767" s="166"/>
      <c r="L767" s="166"/>
      <c r="M767" s="166"/>
      <c r="N767" s="166"/>
      <c r="O767" s="166"/>
      <c r="P767" s="166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316</v>
      </c>
      <c r="F768" s="758"/>
      <c r="G768" s="602"/>
      <c r="H768" s="164" t="s">
        <v>46</v>
      </c>
      <c r="I768" s="616"/>
      <c r="J768" s="616"/>
      <c r="K768" s="92"/>
      <c r="L768" s="92"/>
      <c r="M768" s="92"/>
      <c r="N768" s="92"/>
      <c r="O768" s="92"/>
      <c r="P768" s="92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317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92" t="s">
        <v>17</v>
      </c>
      <c r="E770" s="888"/>
      <c r="F770" s="888"/>
      <c r="G770" s="602"/>
      <c r="H770" s="645" t="s">
        <v>12</v>
      </c>
      <c r="I770" s="616"/>
      <c r="J770" s="616"/>
      <c r="K770" s="92"/>
      <c r="L770" s="646">
        <f>L771+L772</f>
        <v>0</v>
      </c>
      <c r="M770" s="646">
        <f>M771+M772</f>
        <v>0</v>
      </c>
      <c r="N770" s="646">
        <f>N771+N772</f>
        <v>0</v>
      </c>
      <c r="O770" s="646">
        <f t="shared" ref="O770:O775" si="104">IF(L770&gt;0,N770*100/L770,0)</f>
        <v>0</v>
      </c>
      <c r="P770" s="646">
        <f t="shared" ref="P770:P775" si="105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184</v>
      </c>
      <c r="F771" s="758"/>
      <c r="G771" s="602"/>
      <c r="H771" s="164" t="s">
        <v>12</v>
      </c>
      <c r="I771" s="616"/>
      <c r="J771" s="616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185</v>
      </c>
      <c r="F772" s="758"/>
      <c r="G772" s="602"/>
      <c r="H772" s="164" t="s">
        <v>12</v>
      </c>
      <c r="I772" s="616"/>
      <c r="J772" s="616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5"/>
      <c r="J773" s="165"/>
      <c r="K773" s="166"/>
      <c r="L773" s="646">
        <f>L774+L775</f>
        <v>0</v>
      </c>
      <c r="M773" s="646">
        <f>M774+M775</f>
        <v>0</v>
      </c>
      <c r="N773" s="646">
        <f>N774+N775</f>
        <v>0</v>
      </c>
      <c r="O773" s="646">
        <f t="shared" si="104"/>
        <v>0</v>
      </c>
      <c r="P773" s="646">
        <f t="shared" si="105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184</v>
      </c>
      <c r="F774" s="758"/>
      <c r="G774" s="602"/>
      <c r="H774" s="164" t="s">
        <v>12</v>
      </c>
      <c r="I774" s="616"/>
      <c r="J774" s="616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185</v>
      </c>
      <c r="F775" s="758"/>
      <c r="G775" s="602"/>
      <c r="H775" s="164" t="s">
        <v>12</v>
      </c>
      <c r="I775" s="616"/>
      <c r="J775" s="616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186</v>
      </c>
      <c r="G776" s="602"/>
      <c r="H776" s="164" t="s">
        <v>12</v>
      </c>
      <c r="I776" s="616"/>
      <c r="J776" s="616"/>
      <c r="K776" s="92"/>
      <c r="L776" s="92"/>
      <c r="M776" s="92"/>
      <c r="N776" s="92"/>
      <c r="O776" s="92"/>
      <c r="P776" s="92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187</v>
      </c>
      <c r="G777" s="602"/>
      <c r="H777" s="164" t="s">
        <v>12</v>
      </c>
      <c r="I777" s="616"/>
      <c r="J777" s="616"/>
      <c r="K777" s="92"/>
      <c r="L777" s="92"/>
      <c r="M777" s="92"/>
      <c r="N777" s="92"/>
      <c r="O777" s="92"/>
      <c r="P777" s="92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188</v>
      </c>
      <c r="G778" s="602"/>
      <c r="H778" s="164" t="s">
        <v>12</v>
      </c>
      <c r="I778" s="616"/>
      <c r="J778" s="616"/>
      <c r="K778" s="92"/>
      <c r="L778" s="92"/>
      <c r="M778" s="92"/>
      <c r="N778" s="92"/>
      <c r="O778" s="92"/>
      <c r="P778" s="92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189</v>
      </c>
      <c r="G779" s="602"/>
      <c r="H779" s="164" t="s">
        <v>12</v>
      </c>
      <c r="I779" s="616"/>
      <c r="J779" s="616"/>
      <c r="K779" s="92"/>
      <c r="L779" s="92"/>
      <c r="M779" s="92"/>
      <c r="N779" s="92"/>
      <c r="O779" s="92"/>
      <c r="P779" s="92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5"/>
      <c r="J780" s="165"/>
      <c r="K780" s="166"/>
      <c r="L780" s="646">
        <f>L781+L782</f>
        <v>0</v>
      </c>
      <c r="M780" s="646">
        <f>M781+M782</f>
        <v>0</v>
      </c>
      <c r="N780" s="646">
        <f>N781+N782</f>
        <v>0</v>
      </c>
      <c r="O780" s="646">
        <f>IF(L780&gt;0,N780*100/L780,0)</f>
        <v>0</v>
      </c>
      <c r="P780" s="646">
        <f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39" t="s">
        <v>38</v>
      </c>
      <c r="E783" s="650"/>
      <c r="F783" s="650"/>
      <c r="G783" s="651"/>
      <c r="H783" s="800"/>
      <c r="I783" s="165"/>
      <c r="J783" s="165"/>
      <c r="K783" s="166"/>
      <c r="L783" s="166"/>
      <c r="M783" s="166"/>
      <c r="N783" s="166"/>
      <c r="O783" s="166"/>
      <c r="P783" s="166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318</v>
      </c>
      <c r="F784" s="758"/>
      <c r="G784" s="602"/>
      <c r="H784" s="164" t="s">
        <v>46</v>
      </c>
      <c r="I784" s="616"/>
      <c r="J784" s="616"/>
      <c r="K784" s="92"/>
      <c r="L784" s="92"/>
      <c r="M784" s="92"/>
      <c r="N784" s="92"/>
      <c r="O784" s="92"/>
      <c r="P784" s="92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319</v>
      </c>
      <c r="C785" s="803"/>
      <c r="D785" s="803"/>
      <c r="E785" s="803"/>
      <c r="F785" s="803"/>
      <c r="G785" s="804"/>
      <c r="H785" s="805" t="s">
        <v>46</v>
      </c>
      <c r="I785" s="806">
        <f ca="1">I800</f>
        <v>0</v>
      </c>
      <c r="J785" s="807">
        <f ca="1">J800</f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87" t="s">
        <v>17</v>
      </c>
      <c r="E786" s="888"/>
      <c r="F786" s="888"/>
      <c r="G786" s="188"/>
      <c r="H786" s="597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184</v>
      </c>
      <c r="F787" s="758"/>
      <c r="G787" s="602"/>
      <c r="H787" s="164" t="s">
        <v>12</v>
      </c>
      <c r="I787" s="616"/>
      <c r="J787" s="616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185</v>
      </c>
      <c r="F788" s="758"/>
      <c r="G788" s="602"/>
      <c r="H788" s="164" t="s">
        <v>12</v>
      </c>
      <c r="I788" s="616"/>
      <c r="J788" s="616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184</v>
      </c>
      <c r="F790" s="758"/>
      <c r="G790" s="602"/>
      <c r="H790" s="164" t="s">
        <v>12</v>
      </c>
      <c r="I790" s="616"/>
      <c r="J790" s="616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185</v>
      </c>
      <c r="F791" s="758"/>
      <c r="G791" s="602"/>
      <c r="H791" s="164" t="s">
        <v>12</v>
      </c>
      <c r="I791" s="616"/>
      <c r="J791" s="616"/>
      <c r="K791" s="92"/>
      <c r="L791" s="92">
        <f ca="1">IFERROR(__xludf.DUMMYFUNCTION("IMPORTRANGE(""https://docs.google.com/spreadsheets/d/1QqKyyYR6Q21VydFLVH3TRQUabQu_ym0Zz7PgGX0-kHA/edit?usp=sharing"",""แผน!JJ84"")"),0)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826">
        <v>0</v>
      </c>
      <c r="O792" s="497"/>
      <c r="P792" s="497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826">
        <v>0</v>
      </c>
      <c r="O793" s="497"/>
      <c r="P793" s="497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826">
        <v>0</v>
      </c>
      <c r="O794" s="497"/>
      <c r="P794" s="497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826">
        <v>0</v>
      </c>
      <c r="O795" s="497"/>
      <c r="P795" s="497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38" t="s">
        <v>38</v>
      </c>
      <c r="E799" s="760"/>
      <c r="F799" s="760"/>
      <c r="G799" s="612"/>
      <c r="H799" s="810"/>
      <c r="I799" s="183"/>
      <c r="J799" s="183"/>
      <c r="K799" s="162"/>
      <c r="L799" s="162"/>
      <c r="M799" s="162"/>
      <c r="N799" s="162"/>
      <c r="O799" s="162"/>
      <c r="P799" s="162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320</v>
      </c>
      <c r="G800" s="761"/>
      <c r="H800" s="184" t="s">
        <v>46</v>
      </c>
      <c r="I800" s="183">
        <f ca="1">IFERROR(__xludf.DUMMYFUNCTION("IMPORTRANGE(""https://docs.google.com/spreadsheets/d/1QqKyyYR6Q21VydFLVH3TRQUabQu_ym0Zz7PgGX0-kHA/edit?usp=sharing"",""แผน!JN84"")"),0)</f>
        <v>0</v>
      </c>
      <c r="J800" s="183">
        <f ca="1">IFERROR(__xludf.DUMMYFUNCTION("IMPORTRANGE(""https://docs.google.com/spreadsheets/d/1MaWodYyGHDf7siQLGxnXhG4mBNTNIuy296niS2xXulU/edit?usp=sharing"",""RTK!H84"")"),0)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IFERROR(__xludf.DUMMYFUNCTION("IMPORTRANGE(""https://docs.google.com/spreadsheets/d/1MaWodYyGHDf7siQLGxnXhG4mBNTNIuy296niS2xXulU/edit?usp=sharing"",""RTK!I84"")"),0)</f>
        <v>0</v>
      </c>
      <c r="K801" s="497"/>
      <c r="L801" s="497"/>
      <c r="M801" s="497"/>
      <c r="N801" s="497"/>
      <c r="O801" s="162"/>
      <c r="P801" s="162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321</v>
      </c>
      <c r="G802" s="365"/>
      <c r="H802" s="652" t="s">
        <v>46</v>
      </c>
      <c r="I802" s="165"/>
      <c r="J802" s="616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5"/>
      <c r="H803" s="652" t="s">
        <v>34</v>
      </c>
      <c r="I803" s="165"/>
      <c r="J803" s="616">
        <v>0</v>
      </c>
      <c r="K803" s="166"/>
      <c r="L803" s="166"/>
      <c r="M803" s="166"/>
      <c r="N803" s="166"/>
      <c r="O803" s="166"/>
      <c r="P803" s="166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322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92" t="s">
        <v>17</v>
      </c>
      <c r="E805" s="888"/>
      <c r="F805" s="888"/>
      <c r="G805" s="602"/>
      <c r="H805" s="645" t="s">
        <v>12</v>
      </c>
      <c r="I805" s="616"/>
      <c r="J805" s="616"/>
      <c r="K805" s="92"/>
      <c r="L805" s="646">
        <f>L806+L807</f>
        <v>0</v>
      </c>
      <c r="M805" s="646">
        <f>M806+M807</f>
        <v>0</v>
      </c>
      <c r="N805" s="646">
        <f>N806+N807</f>
        <v>0</v>
      </c>
      <c r="O805" s="646">
        <f t="shared" ref="O805:O810" si="110">IF(L805&gt;0,N805*100/L805,0)</f>
        <v>0</v>
      </c>
      <c r="P805" s="646">
        <f t="shared" ref="P805:P810" si="111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184</v>
      </c>
      <c r="F806" s="758"/>
      <c r="G806" s="602"/>
      <c r="H806" s="164" t="s">
        <v>12</v>
      </c>
      <c r="I806" s="616"/>
      <c r="J806" s="616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185</v>
      </c>
      <c r="F807" s="758"/>
      <c r="G807" s="602"/>
      <c r="H807" s="164" t="s">
        <v>12</v>
      </c>
      <c r="I807" s="616"/>
      <c r="J807" s="616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912" t="s">
        <v>20</v>
      </c>
      <c r="E808" s="888"/>
      <c r="F808" s="888"/>
      <c r="G808" s="602"/>
      <c r="H808" s="645" t="s">
        <v>12</v>
      </c>
      <c r="I808" s="165"/>
      <c r="J808" s="165"/>
      <c r="K808" s="166"/>
      <c r="L808" s="646">
        <f>L809+L810</f>
        <v>0</v>
      </c>
      <c r="M808" s="646">
        <f>M809+M810</f>
        <v>0</v>
      </c>
      <c r="N808" s="646">
        <f>N809+N810</f>
        <v>0</v>
      </c>
      <c r="O808" s="646">
        <f t="shared" si="110"/>
        <v>0</v>
      </c>
      <c r="P808" s="646">
        <f t="shared" si="111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184</v>
      </c>
      <c r="F809" s="758"/>
      <c r="G809" s="602"/>
      <c r="H809" s="164" t="s">
        <v>12</v>
      </c>
      <c r="I809" s="616"/>
      <c r="J809" s="616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185</v>
      </c>
      <c r="F810" s="758"/>
      <c r="G810" s="602"/>
      <c r="H810" s="164" t="s">
        <v>12</v>
      </c>
      <c r="I810" s="616"/>
      <c r="J810" s="616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186</v>
      </c>
      <c r="G811" s="602"/>
      <c r="H811" s="164" t="s">
        <v>12</v>
      </c>
      <c r="I811" s="616"/>
      <c r="J811" s="616"/>
      <c r="K811" s="92"/>
      <c r="L811" s="92"/>
      <c r="M811" s="92"/>
      <c r="N811" s="92"/>
      <c r="O811" s="92"/>
      <c r="P811" s="92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187</v>
      </c>
      <c r="G812" s="602"/>
      <c r="H812" s="164" t="s">
        <v>12</v>
      </c>
      <c r="I812" s="616"/>
      <c r="J812" s="616"/>
      <c r="K812" s="92"/>
      <c r="L812" s="92"/>
      <c r="M812" s="92"/>
      <c r="N812" s="92"/>
      <c r="O812" s="92"/>
      <c r="P812" s="92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188</v>
      </c>
      <c r="G813" s="602"/>
      <c r="H813" s="164" t="s">
        <v>12</v>
      </c>
      <c r="I813" s="616"/>
      <c r="J813" s="616"/>
      <c r="K813" s="92"/>
      <c r="L813" s="92"/>
      <c r="M813" s="92"/>
      <c r="N813" s="92"/>
      <c r="O813" s="92"/>
      <c r="P813" s="92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189</v>
      </c>
      <c r="G814" s="602"/>
      <c r="H814" s="164" t="s">
        <v>12</v>
      </c>
      <c r="I814" s="616"/>
      <c r="J814" s="616"/>
      <c r="K814" s="92"/>
      <c r="L814" s="92"/>
      <c r="M814" s="92"/>
      <c r="N814" s="92"/>
      <c r="O814" s="92"/>
      <c r="P814" s="92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912" t="s">
        <v>21</v>
      </c>
      <c r="E815" s="888"/>
      <c r="F815" s="888"/>
      <c r="G815" s="602"/>
      <c r="H815" s="782" t="s">
        <v>12</v>
      </c>
      <c r="I815" s="165"/>
      <c r="J815" s="165"/>
      <c r="K815" s="166"/>
      <c r="L815" s="646">
        <f>L816+L817</f>
        <v>0</v>
      </c>
      <c r="M815" s="646">
        <f>M816+M817</f>
        <v>0</v>
      </c>
      <c r="N815" s="646">
        <f>N816+N817</f>
        <v>0</v>
      </c>
      <c r="O815" s="646">
        <f>IF(L815&gt;0,N815*100/L815,0)</f>
        <v>0</v>
      </c>
      <c r="P815" s="646">
        <f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37" t="s">
        <v>38</v>
      </c>
      <c r="E818" s="650"/>
      <c r="F818" s="650"/>
      <c r="G818" s="651"/>
      <c r="H818" s="365"/>
      <c r="I818" s="165"/>
      <c r="J818" s="165"/>
      <c r="K818" s="166"/>
      <c r="L818" s="166"/>
      <c r="M818" s="166"/>
      <c r="N818" s="166"/>
      <c r="O818" s="166"/>
      <c r="P818" s="166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323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36" t="s">
        <v>340</v>
      </c>
      <c r="B820" s="834"/>
      <c r="C820" s="834"/>
      <c r="D820" s="835"/>
      <c r="E820" s="834"/>
      <c r="F820" s="834"/>
      <c r="G820" s="833"/>
      <c r="H820" s="832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1"/>
      <c r="J820" s="831"/>
      <c r="K820" s="830"/>
      <c r="L820" s="830"/>
      <c r="M820" s="830"/>
      <c r="N820" s="830"/>
      <c r="O820" s="830"/>
      <c r="P820" s="83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325</v>
      </c>
      <c r="C821" s="762"/>
      <c r="D821" s="574"/>
      <c r="E821" s="762"/>
      <c r="F821" s="762"/>
      <c r="G821" s="188"/>
      <c r="H821" s="622" t="s">
        <v>12</v>
      </c>
      <c r="I821" s="269">
        <f ca="1">IFERROR(__xludf.DUMMYFUNCTION("IMPORTRANGE(""https://docs.google.com/spreadsheets/d/19vJNZY_5yjcGF2XGBMNZRCAIB0Kwfpjp8YEOfu-bneM/edit?usp=sharing"",""งานกองทุน!D84"")"),743551.53)</f>
        <v>743551.53</v>
      </c>
      <c r="J821" s="269">
        <f ca="1">IFERROR(__xludf.DUMMYFUNCTION("IMPORTRANGE(""https://docs.google.com/spreadsheets/d/19vJNZY_5yjcGF2XGBMNZRCAIB0Kwfpjp8YEOfu-bneM/edit?usp=sharing"",""งานกองทุน!F84"")"),750169.33)</f>
        <v>750169.33</v>
      </c>
      <c r="K821" s="497">
        <f t="shared" ref="K821:K828" ca="1" si="113">IF(I821&gt;0,J821*100/I821,0)</f>
        <v>100.89002573903653</v>
      </c>
      <c r="L821" s="497"/>
      <c r="M821" s="497"/>
      <c r="N821" s="497"/>
      <c r="O821" s="497"/>
      <c r="P821" s="497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8"/>
      <c r="H822" s="622" t="s">
        <v>35</v>
      </c>
      <c r="I822" s="269">
        <f ca="1">IFERROR(__xludf.DUMMYFUNCTION("IMPORTRANGE(""https://docs.google.com/spreadsheets/d/19vJNZY_5yjcGF2XGBMNZRCAIB0Kwfpjp8YEOfu-bneM/edit?usp=sharing"",""งานกองทุน!C84"")"),68)</f>
        <v>68</v>
      </c>
      <c r="J822" s="269">
        <f ca="1">IFERROR(__xludf.DUMMYFUNCTION("IMPORTRANGE(""https://docs.google.com/spreadsheets/d/19vJNZY_5yjcGF2XGBMNZRCAIB0Kwfpjp8YEOfu-bneM/edit?usp=sharing"",""งานกองทุน!E84"")"),71)</f>
        <v>71</v>
      </c>
      <c r="K822" s="497">
        <f t="shared" ca="1" si="113"/>
        <v>104.41176470588235</v>
      </c>
      <c r="L822" s="497"/>
      <c r="M822" s="497"/>
      <c r="N822" s="497"/>
      <c r="O822" s="497"/>
      <c r="P822" s="497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326</v>
      </c>
      <c r="C823" s="762"/>
      <c r="D823" s="574"/>
      <c r="E823" s="762"/>
      <c r="F823" s="762"/>
      <c r="G823" s="188"/>
      <c r="H823" s="622" t="s">
        <v>12</v>
      </c>
      <c r="I823" s="269">
        <f ca="1">IFERROR(__xludf.DUMMYFUNCTION("IMPORTRANGE(""https://docs.google.com/spreadsheets/d/19vJNZY_5yjcGF2XGBMNZRCAIB0Kwfpjp8YEOfu-bneM/edit?usp=sharing"",""งานกองทุน!I84"")"),35881.65)</f>
        <v>35881.65</v>
      </c>
      <c r="J823" s="269">
        <f ca="1">IFERROR(__xludf.DUMMYFUNCTION("IMPORTRANGE(""https://docs.google.com/spreadsheets/d/19vJNZY_5yjcGF2XGBMNZRCAIB0Kwfpjp8YEOfu-bneM/edit?usp=sharing"",""งานกองทุน!K84"")"),29926.98)</f>
        <v>29926.98</v>
      </c>
      <c r="K823" s="497">
        <f t="shared" ca="1" si="113"/>
        <v>83.404692928000799</v>
      </c>
      <c r="L823" s="497"/>
      <c r="M823" s="497"/>
      <c r="N823" s="497"/>
      <c r="O823" s="497"/>
      <c r="P823" s="497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8"/>
      <c r="H824" s="622" t="s">
        <v>35</v>
      </c>
      <c r="I824" s="269">
        <f ca="1">IFERROR(__xludf.DUMMYFUNCTION("IMPORTRANGE(""https://docs.google.com/spreadsheets/d/19vJNZY_5yjcGF2XGBMNZRCAIB0Kwfpjp8YEOfu-bneM/edit?usp=sharing"",""งานกองทุน!H84"")"),2)</f>
        <v>2</v>
      </c>
      <c r="J824" s="269">
        <f ca="1">IFERROR(__xludf.DUMMYFUNCTION("IMPORTRANGE(""https://docs.google.com/spreadsheets/d/19vJNZY_5yjcGF2XGBMNZRCAIB0Kwfpjp8YEOfu-bneM/edit?usp=sharing"",""งานกองทุน!J84"")"),2)</f>
        <v>2</v>
      </c>
      <c r="K824" s="497">
        <f t="shared" ca="1" si="113"/>
        <v>100</v>
      </c>
      <c r="L824" s="497"/>
      <c r="M824" s="497"/>
      <c r="N824" s="497"/>
      <c r="O824" s="497"/>
      <c r="P824" s="497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327</v>
      </c>
      <c r="C825" s="762"/>
      <c r="D825" s="574"/>
      <c r="E825" s="762"/>
      <c r="F825" s="762"/>
      <c r="G825" s="188"/>
      <c r="H825" s="622" t="s">
        <v>12</v>
      </c>
      <c r="I825" s="269">
        <f ca="1">IFERROR(__xludf.DUMMYFUNCTION("IMPORTRANGE(""https://docs.google.com/spreadsheets/d/19vJNZY_5yjcGF2XGBMNZRCAIB0Kwfpjp8YEOfu-bneM/edit?usp=sharing"",""งานกองทุน!N84"")"),58877.9)</f>
        <v>58877.9</v>
      </c>
      <c r="J825" s="269">
        <f ca="1">IFERROR(__xludf.DUMMYFUNCTION("IMPORTRANGE(""https://docs.google.com/spreadsheets/d/19vJNZY_5yjcGF2XGBMNZRCAIB0Kwfpjp8YEOfu-bneM/edit?usp=sharing"",""งานกองทุน!P84"")"),42203.83)</f>
        <v>42203.83</v>
      </c>
      <c r="K825" s="497">
        <f t="shared" ca="1" si="113"/>
        <v>71.680256938511732</v>
      </c>
      <c r="L825" s="497"/>
      <c r="M825" s="497"/>
      <c r="N825" s="497"/>
      <c r="O825" s="497"/>
      <c r="P825" s="497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8"/>
      <c r="H826" s="622" t="s">
        <v>35</v>
      </c>
      <c r="I826" s="269">
        <f ca="1">IFERROR(__xludf.DUMMYFUNCTION("IMPORTRANGE(""https://docs.google.com/spreadsheets/d/19vJNZY_5yjcGF2XGBMNZRCAIB0Kwfpjp8YEOfu-bneM/edit?usp=sharing"",""งานกองทุน!M84"")"),149)</f>
        <v>149</v>
      </c>
      <c r="J826" s="269">
        <f ca="1">IFERROR(__xludf.DUMMYFUNCTION("IMPORTRANGE(""https://docs.google.com/spreadsheets/d/19vJNZY_5yjcGF2XGBMNZRCAIB0Kwfpjp8YEOfu-bneM/edit?usp=sharing"",""งานกองทุน!O84"")"),119)</f>
        <v>119</v>
      </c>
      <c r="K826" s="497">
        <f t="shared" ca="1" si="113"/>
        <v>79.865771812080538</v>
      </c>
      <c r="L826" s="497"/>
      <c r="M826" s="497"/>
      <c r="N826" s="497"/>
      <c r="O826" s="497"/>
      <c r="P826" s="497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328</v>
      </c>
      <c r="C827" s="762"/>
      <c r="D827" s="574"/>
      <c r="E827" s="762"/>
      <c r="F827" s="762"/>
      <c r="G827" s="188"/>
      <c r="H827" s="622" t="s">
        <v>12</v>
      </c>
      <c r="I827" s="269">
        <f ca="1">IFERROR(__xludf.DUMMYFUNCTION("IMPORTRANGE(""https://docs.google.com/spreadsheets/d/19vJNZY_5yjcGF2XGBMNZRCAIB0Kwfpjp8YEOfu-bneM/edit?usp=sharing"",""งานกองทุน!S84"")"),300000)</f>
        <v>300000</v>
      </c>
      <c r="J827" s="269">
        <f ca="1">IFERROR(__xludf.DUMMYFUNCTION("IMPORTRANGE(""https://docs.google.com/spreadsheets/d/19vJNZY_5yjcGF2XGBMNZRCAIB0Kwfpjp8YEOfu-bneM/edit?usp=sharing"",""งานกองทุน!U84"")"),300000)</f>
        <v>300000</v>
      </c>
      <c r="K827" s="497">
        <f t="shared" ca="1" si="113"/>
        <v>100</v>
      </c>
      <c r="L827" s="497"/>
      <c r="M827" s="497"/>
      <c r="N827" s="497"/>
      <c r="O827" s="497"/>
      <c r="P827" s="497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827"/>
      <c r="B828" s="748"/>
      <c r="C828" s="748"/>
      <c r="D828" s="747"/>
      <c r="E828" s="748"/>
      <c r="F828" s="748"/>
      <c r="G828" s="828"/>
      <c r="H828" s="829" t="s">
        <v>35</v>
      </c>
      <c r="I828" s="505">
        <f ca="1">IFERROR(__xludf.DUMMYFUNCTION("IMPORTRANGE(""https://docs.google.com/spreadsheets/d/19vJNZY_5yjcGF2XGBMNZRCAIB0Kwfpjp8YEOfu-bneM/edit?usp=sharing"",""งานกองทุน!R84"")"),12)</f>
        <v>12</v>
      </c>
      <c r="J828" s="505">
        <f ca="1">IFERROR(__xludf.DUMMYFUNCTION("IMPORTRANGE(""https://docs.google.com/spreadsheets/d/19vJNZY_5yjcGF2XGBMNZRCAIB0Kwfpjp8YEOfu-bneM/edit?usp=sharing"",""งานกองทุน!T84"")"),6)</f>
        <v>6</v>
      </c>
      <c r="K828" s="506">
        <f t="shared" ca="1" si="113"/>
        <v>50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 gridLines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0A41D-5EE5-424E-94AA-9418F1273609}">
  <sheetPr>
    <outlinePr summaryBelow="0" summaryRight="0"/>
    <pageSetUpPr fitToPage="1"/>
  </sheetPr>
  <dimension ref="A1:Z828"/>
  <sheetViews>
    <sheetView view="pageBreakPreview" zoomScale="50" zoomScaleNormal="10" zoomScaleSheetLayoutView="50" workbookViewId="0">
      <pane ySplit="6" topLeftCell="A7" activePane="bottomLeft" state="frozen"/>
      <selection activeCell="X18" sqref="X18:X21"/>
      <selection pane="bottomLeft" activeCell="X18" sqref="X18:X2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20.140625" bestFit="1" customWidth="1"/>
    <col min="16" max="16" width="22" bestFit="1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350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354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4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3904208</v>
      </c>
      <c r="M8" s="21">
        <f ca="1">M9+M10</f>
        <v>3806051.94</v>
      </c>
      <c r="N8" s="21">
        <f ca="1">N9+N10</f>
        <v>3806049.94</v>
      </c>
      <c r="O8" s="21">
        <f t="shared" ref="O8:O16" ca="1" si="0">IF(L8&gt;0,N8*100/L8,0)</f>
        <v>97.485839381508356</v>
      </c>
      <c r="P8" s="21">
        <f t="shared" ref="P8:P16" ca="1" si="1">IF(M8&gt;0,N8*100/M8,0)</f>
        <v>99.999947452109652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3904208</v>
      </c>
      <c r="M10" s="29">
        <f t="shared" ca="1" si="2"/>
        <v>3806051.94</v>
      </c>
      <c r="N10" s="29">
        <f t="shared" ca="1" si="2"/>
        <v>3806049.94</v>
      </c>
      <c r="O10" s="29">
        <f t="shared" ca="1" si="0"/>
        <v>97.485839381508356</v>
      </c>
      <c r="P10" s="29">
        <f t="shared" ca="1" si="1"/>
        <v>99.999947452109652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22" t="s">
        <v>12</v>
      </c>
      <c r="I11" s="269"/>
      <c r="J11" s="269"/>
      <c r="K11" s="497"/>
      <c r="L11" s="497">
        <f ca="1">L12+L13</f>
        <v>3858208</v>
      </c>
      <c r="M11" s="497">
        <f ca="1">M12+M13</f>
        <v>3742451.94</v>
      </c>
      <c r="N11" s="497">
        <f ca="1">N12+N13</f>
        <v>3742449.94</v>
      </c>
      <c r="O11" s="497">
        <f t="shared" ca="1" si="0"/>
        <v>96.999693640156252</v>
      </c>
      <c r="P11" s="497">
        <f t="shared" ca="1" si="1"/>
        <v>99.999946559099968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6"/>
      <c r="J12" s="616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6"/>
      <c r="J13" s="616"/>
      <c r="K13" s="92"/>
      <c r="L13" s="92">
        <f t="shared" ca="1" si="3"/>
        <v>3858208</v>
      </c>
      <c r="M13" s="92">
        <f t="shared" ca="1" si="3"/>
        <v>3742451.94</v>
      </c>
      <c r="N13" s="92">
        <f t="shared" ca="1" si="3"/>
        <v>3742449.94</v>
      </c>
      <c r="O13" s="92">
        <f t="shared" ca="1" si="0"/>
        <v>96.999693640156252</v>
      </c>
      <c r="P13" s="92">
        <f t="shared" ca="1" si="1"/>
        <v>99.999946559099968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22" t="s">
        <v>12</v>
      </c>
      <c r="I14" s="269"/>
      <c r="J14" s="269"/>
      <c r="K14" s="497"/>
      <c r="L14" s="497">
        <f ca="1">L15+L16</f>
        <v>46000</v>
      </c>
      <c r="M14" s="497">
        <f ca="1">M15+M16</f>
        <v>63600</v>
      </c>
      <c r="N14" s="497">
        <f ca="1">N15+N16</f>
        <v>63600</v>
      </c>
      <c r="O14" s="497">
        <f t="shared" ca="1" si="0"/>
        <v>138.2608695652174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6"/>
      <c r="J15" s="616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46000</v>
      </c>
      <c r="M16" s="51">
        <f t="shared" ca="1" si="4"/>
        <v>63600</v>
      </c>
      <c r="N16" s="51">
        <f t="shared" ca="1" si="4"/>
        <v>63600</v>
      </c>
      <c r="O16" s="51">
        <f t="shared" ca="1" si="0"/>
        <v>138.2608695652174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2215590</v>
      </c>
      <c r="M18" s="21">
        <f ca="1">M19+M20</f>
        <v>2430643.94</v>
      </c>
      <c r="N18" s="21">
        <f ca="1">N19+N20</f>
        <v>2430641.94</v>
      </c>
      <c r="O18" s="21">
        <f t="shared" ref="O18:O26" ca="1" si="5">IF(L18&gt;0,N18*100/L18,0)</f>
        <v>109.70630576956928</v>
      </c>
      <c r="P18" s="21">
        <f t="shared" ref="P18:P26" ca="1" si="6">IF(M18&gt;0,N18*100/M18,0)</f>
        <v>99.999917717277839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2215590</v>
      </c>
      <c r="M20" s="29">
        <f t="shared" ca="1" si="7"/>
        <v>2430643.94</v>
      </c>
      <c r="N20" s="29">
        <f t="shared" ca="1" si="7"/>
        <v>2430641.94</v>
      </c>
      <c r="O20" s="29">
        <f t="shared" ca="1" si="5"/>
        <v>109.70630576956928</v>
      </c>
      <c r="P20" s="29">
        <f t="shared" ca="1" si="6"/>
        <v>99.999917717277839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22" t="s">
        <v>12</v>
      </c>
      <c r="I21" s="269"/>
      <c r="J21" s="269"/>
      <c r="K21" s="497"/>
      <c r="L21" s="497">
        <f ca="1">L22+L23</f>
        <v>2169590</v>
      </c>
      <c r="M21" s="497">
        <f ca="1">M22+M23</f>
        <v>2367043.94</v>
      </c>
      <c r="N21" s="497">
        <f ca="1">N22+N23</f>
        <v>2367041.94</v>
      </c>
      <c r="O21" s="497">
        <f t="shared" ca="1" si="5"/>
        <v>109.10088726441401</v>
      </c>
      <c r="P21" s="497">
        <f t="shared" ca="1" si="6"/>
        <v>99.999915506426973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6"/>
      <c r="J22" s="616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6"/>
      <c r="J23" s="616"/>
      <c r="K23" s="92"/>
      <c r="L23" s="92">
        <f t="shared" ca="1" si="8"/>
        <v>2169590</v>
      </c>
      <c r="M23" s="92">
        <f t="shared" ca="1" si="8"/>
        <v>2367043.94</v>
      </c>
      <c r="N23" s="92">
        <f t="shared" ca="1" si="8"/>
        <v>2367041.94</v>
      </c>
      <c r="O23" s="92">
        <f t="shared" ca="1" si="5"/>
        <v>109.10088726441401</v>
      </c>
      <c r="P23" s="92">
        <f t="shared" ca="1" si="6"/>
        <v>99.999915506426973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22" t="s">
        <v>12</v>
      </c>
      <c r="I24" s="269"/>
      <c r="J24" s="269"/>
      <c r="K24" s="497"/>
      <c r="L24" s="497">
        <f ca="1">L25+L26</f>
        <v>46000</v>
      </c>
      <c r="M24" s="497">
        <f ca="1">M25+M26</f>
        <v>63600</v>
      </c>
      <c r="N24" s="497">
        <f ca="1">N25+N26</f>
        <v>63600</v>
      </c>
      <c r="O24" s="497">
        <f t="shared" ca="1" si="5"/>
        <v>138.2608695652174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6"/>
      <c r="J25" s="616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46000</v>
      </c>
      <c r="M26" s="51">
        <f t="shared" ca="1" si="9"/>
        <v>63600</v>
      </c>
      <c r="N26" s="51">
        <f t="shared" ca="1" si="9"/>
        <v>63600</v>
      </c>
      <c r="O26" s="51">
        <f t="shared" ca="1" si="5"/>
        <v>138.2608695652174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1688618</v>
      </c>
      <c r="M28" s="21">
        <f ca="1">M29+M30</f>
        <v>1375408</v>
      </c>
      <c r="N28" s="21">
        <f>N29+N30</f>
        <v>1375408</v>
      </c>
      <c r="O28" s="21">
        <f t="shared" ref="O28:O37" ca="1" si="10">IF(L28&gt;0,N28*100/L28,0)</f>
        <v>81.451696002293005</v>
      </c>
      <c r="P28" s="21">
        <f t="shared" ref="P28:P37" ca="1" si="11">IF(M28&gt;0,N28*100/M28,0)</f>
        <v>100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1688618</v>
      </c>
      <c r="M30" s="29">
        <f t="shared" ca="1" si="12"/>
        <v>1375408</v>
      </c>
      <c r="N30" s="29">
        <f t="shared" si="12"/>
        <v>1375408</v>
      </c>
      <c r="O30" s="29">
        <f t="shared" ca="1" si="10"/>
        <v>81.451696002293005</v>
      </c>
      <c r="P30" s="29">
        <f t="shared" ca="1" si="11"/>
        <v>100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22" t="s">
        <v>12</v>
      </c>
      <c r="I31" s="269"/>
      <c r="J31" s="269"/>
      <c r="K31" s="497"/>
      <c r="L31" s="497">
        <f ca="1">L32+L33</f>
        <v>1688618</v>
      </c>
      <c r="M31" s="497">
        <f ca="1">M32+M33</f>
        <v>1375408</v>
      </c>
      <c r="N31" s="497">
        <f>N32+N33</f>
        <v>1375408</v>
      </c>
      <c r="O31" s="497">
        <f t="shared" ca="1" si="10"/>
        <v>81.451696002293005</v>
      </c>
      <c r="P31" s="497">
        <f t="shared" ca="1" si="11"/>
        <v>100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6"/>
      <c r="J32" s="616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6"/>
      <c r="J33" s="616"/>
      <c r="K33" s="92"/>
      <c r="L33" s="92">
        <f t="shared" ca="1" si="13"/>
        <v>1688618</v>
      </c>
      <c r="M33" s="92">
        <f t="shared" ca="1" si="13"/>
        <v>1375408</v>
      </c>
      <c r="N33" s="92">
        <f t="shared" si="13"/>
        <v>1375408</v>
      </c>
      <c r="O33" s="92">
        <f t="shared" ca="1" si="10"/>
        <v>81.451696002293005</v>
      </c>
      <c r="P33" s="92">
        <f t="shared" ca="1" si="11"/>
        <v>100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22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6"/>
      <c r="J35" s="616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868" t="s">
        <v>24</v>
      </c>
      <c r="B37" s="867"/>
      <c r="C37" s="867"/>
      <c r="D37" s="867"/>
      <c r="E37" s="867"/>
      <c r="F37" s="867"/>
      <c r="G37" s="866"/>
      <c r="H37" s="865"/>
      <c r="I37" s="864"/>
      <c r="J37" s="864"/>
      <c r="K37" s="863"/>
      <c r="L37" s="862">
        <f ca="1">L41+L53+L66+L88+L119+L132+L149+L165+L181+L261+L277+L298+L315+L328+L345+L389+L402</f>
        <v>2215590</v>
      </c>
      <c r="M37" s="862">
        <f ca="1">M41+M53+M66+M88+M119+M132+M149+M165+M181+M261+M277+M298+M315+M328+M345+M389+M402</f>
        <v>2430643.94</v>
      </c>
      <c r="N37" s="862">
        <f ca="1">N41+N53+N66+N88+N119+N132+N149+N165+N181+N261+N277+N298+N315+N328+N345+N389+N402</f>
        <v>2430641.94</v>
      </c>
      <c r="O37" s="877">
        <f t="shared" ca="1" si="10"/>
        <v>109.70630576956928</v>
      </c>
      <c r="P37" s="876">
        <f t="shared" ca="1" si="11"/>
        <v>99.999917717277839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9" t="s">
        <v>27</v>
      </c>
      <c r="C40" s="888"/>
      <c r="D40" s="888"/>
      <c r="E40" s="888"/>
      <c r="F40" s="888"/>
      <c r="G40" s="894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1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193600</v>
      </c>
      <c r="M41" s="84">
        <f ca="1">M42+M43</f>
        <v>249393.94</v>
      </c>
      <c r="N41" s="84">
        <f ca="1">N42+N43</f>
        <v>249393.94</v>
      </c>
      <c r="O41" s="84">
        <f t="shared" ref="O41:O49" ca="1" si="15">IF(L41&gt;0,N41*100/L41,0)</f>
        <v>128.81918388429753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193600</v>
      </c>
      <c r="M43" s="91">
        <f t="shared" ca="1" si="17"/>
        <v>249393.94</v>
      </c>
      <c r="N43" s="91">
        <f t="shared" ca="1" si="17"/>
        <v>249393.94</v>
      </c>
      <c r="O43" s="91">
        <f t="shared" ca="1" si="15"/>
        <v>128.81918388429753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22" t="s">
        <v>12</v>
      </c>
      <c r="I44" s="269"/>
      <c r="J44" s="269"/>
      <c r="K44" s="497"/>
      <c r="L44" s="497">
        <f ca="1">L45+L46</f>
        <v>193600</v>
      </c>
      <c r="M44" s="497">
        <f ca="1">M45+M46</f>
        <v>249393.94</v>
      </c>
      <c r="N44" s="497">
        <f ca="1">N45+N46</f>
        <v>249393.94</v>
      </c>
      <c r="O44" s="497">
        <f t="shared" ca="1" si="15"/>
        <v>128.81918388429753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6"/>
      <c r="J45" s="616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6"/>
      <c r="J46" s="616"/>
      <c r="K46" s="92"/>
      <c r="L46" s="92">
        <f ca="1">IFERROR(__xludf.DUMMYFUNCTION("IMPORTRANGE(""https://docs.google.com/spreadsheets/d/1MeEWN-I1oV_STSDYn1IFDPWt_1FKiwhDph83XaGc0o0/edit?usp=sharing"",""งบพรบ!M85"")"),193600)</f>
        <v>193600</v>
      </c>
      <c r="M46" s="92">
        <f ca="1">IFERROR(__xludf.DUMMYFUNCTION("IMPORTRANGE(""https://docs.google.com/spreadsheets/d/1MeEWN-I1oV_STSDYn1IFDPWt_1FKiwhDph83XaGc0o0/edit?usp=sharing"",""งบพรบ!R85"")"),249393.94)</f>
        <v>249393.94</v>
      </c>
      <c r="N46" s="92">
        <f ca="1">IFERROR(__xludf.DUMMYFUNCTION("IMPORTRANGE(""https://docs.google.com/spreadsheets/d/1MeEWN-I1oV_STSDYn1IFDPWt_1FKiwhDph83XaGc0o0/edit?usp=sharing"",""งบพรบ!T85"")"),249393.94)</f>
        <v>249393.94</v>
      </c>
      <c r="O46" s="92">
        <f t="shared" ca="1" si="15"/>
        <v>128.81918388429753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22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6"/>
      <c r="J48" s="616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IFERROR(__xludf.DUMMYFUNCTION("IMPORTRANGE(""https://docs.google.com/spreadsheets/d/1MeEWN-I1oV_STSDYn1IFDPWt_1FKiwhDph83XaGc0o0/edit?usp=sharing"",""งบพรบ!P85"")"),0)</f>
        <v>0</v>
      </c>
      <c r="M49" s="51">
        <f ca="1">IFERROR(__xludf.DUMMYFUNCTION("IMPORTRANGE(""https://docs.google.com/spreadsheets/d/1MeEWN-I1oV_STSDYn1IFDPWt_1FKiwhDph83XaGc0o0/edit?usp=sharing"",""งบพรบ!S85"")"),0)</f>
        <v>0</v>
      </c>
      <c r="N49" s="51">
        <f ca="1">IFERROR(__xludf.DUMMYFUNCTION("IMPORTRANGE(""https://docs.google.com/spreadsheets/d/1MeEWN-I1oV_STSDYn1IFDPWt_1FKiwhDph83XaGc0o0/edit?usp=sharing"",""งบพรบ!U85"")"),0)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3" t="s">
        <v>29</v>
      </c>
      <c r="C51" s="888"/>
      <c r="D51" s="888"/>
      <c r="E51" s="888"/>
      <c r="F51" s="888"/>
      <c r="G51" s="894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640900</v>
      </c>
      <c r="M53" s="115">
        <f ca="1">M54+M55</f>
        <v>716600</v>
      </c>
      <c r="N53" s="115">
        <f ca="1">N54+N55</f>
        <v>716600</v>
      </c>
      <c r="O53" s="115">
        <f t="shared" ref="O53:O61" ca="1" si="18">IF(L53&gt;0,N53*100/L53,0)</f>
        <v>111.81151505695117</v>
      </c>
      <c r="P53" s="115">
        <f t="shared" ref="P53:P61" ca="1" si="19">IF(M53&gt;0,N53*100/M53,0)</f>
        <v>100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640900</v>
      </c>
      <c r="M55" s="122">
        <f t="shared" ca="1" si="20"/>
        <v>716600</v>
      </c>
      <c r="N55" s="122">
        <f t="shared" ca="1" si="20"/>
        <v>716600</v>
      </c>
      <c r="O55" s="122">
        <f t="shared" ca="1" si="18"/>
        <v>111.81151505695117</v>
      </c>
      <c r="P55" s="122">
        <f t="shared" ca="1" si="19"/>
        <v>100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22" t="s">
        <v>12</v>
      </c>
      <c r="I56" s="269"/>
      <c r="J56" s="269"/>
      <c r="K56" s="497"/>
      <c r="L56" s="497">
        <f ca="1">L57+L58</f>
        <v>640900</v>
      </c>
      <c r="M56" s="497">
        <f ca="1">M57+M58</f>
        <v>708000</v>
      </c>
      <c r="N56" s="497">
        <f ca="1">N57+N58</f>
        <v>708000</v>
      </c>
      <c r="O56" s="497">
        <f t="shared" ca="1" si="18"/>
        <v>110.46965205180216</v>
      </c>
      <c r="P56" s="497">
        <f t="shared" ca="1" si="19"/>
        <v>100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6"/>
      <c r="J57" s="616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6"/>
      <c r="J58" s="616"/>
      <c r="K58" s="92"/>
      <c r="L58" s="92">
        <f ca="1">IFERROR(__xludf.DUMMYFUNCTION("IMPORTRANGE(""https://docs.google.com/spreadsheets/d/1MeEWN-I1oV_STSDYn1IFDPWt_1FKiwhDph83XaGc0o0/edit?usp=sharing"",""งบพรบ!W85"")"),640900)</f>
        <v>640900</v>
      </c>
      <c r="M58" s="92">
        <f ca="1">IFERROR(__xludf.DUMMYFUNCTION("IMPORTRANGE(""https://docs.google.com/spreadsheets/d/1MeEWN-I1oV_STSDYn1IFDPWt_1FKiwhDph83XaGc0o0/edit?usp=sharing"",""งบพรบ!AB85"")"),708000)</f>
        <v>708000</v>
      </c>
      <c r="N58" s="92">
        <f ca="1">IFERROR(__xludf.DUMMYFUNCTION("IMPORTRANGE(""https://docs.google.com/spreadsheets/d/1MeEWN-I1oV_STSDYn1IFDPWt_1FKiwhDph83XaGc0o0/edit?usp=sharing"",""งบพรบ!AD85"")"),708000)</f>
        <v>708000</v>
      </c>
      <c r="O58" s="92">
        <f t="shared" ca="1" si="18"/>
        <v>110.46965205180216</v>
      </c>
      <c r="P58" s="92">
        <f t="shared" ca="1" si="19"/>
        <v>100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22" t="s">
        <v>12</v>
      </c>
      <c r="I59" s="269"/>
      <c r="J59" s="269"/>
      <c r="K59" s="497"/>
      <c r="L59" s="497">
        <f ca="1">L60+L61</f>
        <v>0</v>
      </c>
      <c r="M59" s="497">
        <f ca="1">M60+M61</f>
        <v>8600</v>
      </c>
      <c r="N59" s="497">
        <f ca="1">N60+N61</f>
        <v>8600</v>
      </c>
      <c r="O59" s="497">
        <f t="shared" ca="1" si="18"/>
        <v>0</v>
      </c>
      <c r="P59" s="497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6"/>
      <c r="J60" s="616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IFERROR(__xludf.DUMMYFUNCTION("IMPORTRANGE(""https://docs.google.com/spreadsheets/d/1MeEWN-I1oV_STSDYn1IFDPWt_1FKiwhDph83XaGc0o0/edit?usp=sharing"",""งบพรบ!Z85"")"),0)</f>
        <v>0</v>
      </c>
      <c r="M61" s="51">
        <f ca="1">IFERROR(__xludf.DUMMYFUNCTION("IMPORTRANGE(""https://docs.google.com/spreadsheets/d/1MeEWN-I1oV_STSDYn1IFDPWt_1FKiwhDph83XaGc0o0/edit?usp=sharing"",""งบพรบ!AC85"")"),8600)</f>
        <v>8600</v>
      </c>
      <c r="N61" s="51">
        <f ca="1">IFERROR(__xludf.DUMMYFUNCTION("IMPORTRANGE(""https://docs.google.com/spreadsheets/d/1MeEWN-I1oV_STSDYn1IFDPWt_1FKiwhDph83XaGc0o0/edit?usp=sharing"",""งบพรบ!AE85"")"),8600)</f>
        <v>8600</v>
      </c>
      <c r="O61" s="51">
        <f t="shared" ca="1" si="18"/>
        <v>0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46" t="s">
        <v>17</v>
      </c>
      <c r="E66" s="147"/>
      <c r="F66" s="147"/>
      <c r="G66" s="150"/>
      <c r="H66" s="151" t="s">
        <v>12</v>
      </c>
      <c r="I66" s="420"/>
      <c r="J66" s="420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6"/>
      <c r="J67" s="616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6"/>
      <c r="J68" s="616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IFERROR(__xludf.DUMMYFUNCTION("IMPORTRANGE(""https://docs.google.com/spreadsheets/d/1MeEWN-I1oV_STSDYn1IFDPWt_1FKiwhDph83XaGc0o0/edit?usp=sharing"",""งบพรบ!AG85"")"),0)</f>
        <v>0</v>
      </c>
      <c r="M71" s="92">
        <f ca="1">IFERROR(__xludf.DUMMYFUNCTION("IMPORTRANGE(""https://docs.google.com/spreadsheets/d/1MeEWN-I1oV_STSDYn1IFDPWt_1FKiwhDph83XaGc0o0/edit?usp=sharing"",""งบพรบ!AL85"")"),0)</f>
        <v>0</v>
      </c>
      <c r="N71" s="92">
        <f ca="1">IFERROR(__xludf.DUMMYFUNCTION("IMPORTRANGE(""https://docs.google.com/spreadsheets/d/1MeEWN-I1oV_STSDYn1IFDPWt_1FKiwhDph83XaGc0o0/edit?usp=sharing"",""งบพรบ!AN85"")"),0)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IFERROR(__xludf.DUMMYFUNCTION("IMPORTRANGE(""https://docs.google.com/spreadsheets/d/1MeEWN-I1oV_STSDYn1IFDPWt_1FKiwhDph83XaGc0o0/edit?usp=sharing"",""งบพรบ!AJ85"")"),0)</f>
        <v>0</v>
      </c>
      <c r="M74" s="92">
        <f ca="1">IFERROR(__xludf.DUMMYFUNCTION("IMPORTRANGE(""https://docs.google.com/spreadsheets/d/1MeEWN-I1oV_STSDYn1IFDPWt_1FKiwhDph83XaGc0o0/edit?usp=sharing"",""งบพรบ!AM85"")"),0)</f>
        <v>0</v>
      </c>
      <c r="N74" s="92">
        <f ca="1">IFERROR(__xludf.DUMMYFUNCTION("IMPORTRANGE(""https://docs.google.com/spreadsheets/d/1MeEWN-I1oV_STSDYn1IFDPWt_1FKiwhDph83XaGc0o0/edit?usp=sharing"",""งบพรบ!AO85"")"),0)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47" t="s">
        <v>38</v>
      </c>
      <c r="E75" s="172"/>
      <c r="F75" s="172"/>
      <c r="G75" s="173"/>
      <c r="H75" s="761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7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7" t="s">
        <v>40</v>
      </c>
      <c r="F78" s="447"/>
      <c r="G78" s="178"/>
      <c r="H78" s="763" t="s">
        <v>34</v>
      </c>
      <c r="I78" s="183">
        <f ca="1">IFERROR(__xludf.DUMMYFUNCTION("IMPORTRANGE(""https://docs.google.com/spreadsheets/d/1QqKyyYR6Q21VydFLVH3TRQUabQu_ym0Zz7PgGX0-kHA/edit?usp=sharing"",""แผน!H85"")"),0)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63" t="s">
        <v>35</v>
      </c>
      <c r="I79" s="183">
        <f ca="1">IFERROR(__xludf.DUMMYFUNCTION("IMPORTRANGE(""https://docs.google.com/spreadsheets/d/1QqKyyYR6Q21VydFLVH3TRQUabQu_ym0Zz7PgGX0-kHA/edit?usp=sharing"",""แผน!I85"")"),0)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7" t="s">
        <v>41</v>
      </c>
      <c r="F80" s="447"/>
      <c r="G80" s="178"/>
      <c r="H80" s="763" t="s">
        <v>34</v>
      </c>
      <c r="I80" s="183">
        <f ca="1">IFERROR(__xludf.DUMMYFUNCTION("IMPORTRANGE(""https://docs.google.com/spreadsheets/d/1QqKyyYR6Q21VydFLVH3TRQUabQu_ym0Zz7PgGX0-kHA/edit?usp=sharing"",""แผน!F85"")"),0)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63" t="s">
        <v>35</v>
      </c>
      <c r="I81" s="183">
        <f ca="1">IFERROR(__xludf.DUMMYFUNCTION("IMPORTRANGE(""https://docs.google.com/spreadsheets/d/1QqKyyYR6Q21VydFLVH3TRQUabQu_ym0Zz7PgGX0-kHA/edit?usp=sharing"",""แผน!G85"")"),0)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7" t="s">
        <v>42</v>
      </c>
      <c r="F82" s="447"/>
      <c r="G82" s="178"/>
      <c r="H82" s="763" t="s">
        <v>34</v>
      </c>
      <c r="I82" s="183">
        <f ca="1">IFERROR(__xludf.DUMMYFUNCTION("IMPORTRANGE(""https://docs.google.com/spreadsheets/d/1QqKyyYR6Q21VydFLVH3TRQUabQu_ym0Zz7PgGX0-kHA/edit?usp=sharing"",""แผน!D85"")"),0)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63" t="s">
        <v>35</v>
      </c>
      <c r="I83" s="183">
        <f ca="1">IFERROR(__xludf.DUMMYFUNCTION("IMPORTRANGE(""https://docs.google.com/spreadsheets/d/1QqKyyYR6Q21VydFLVH3TRQUabQu_ym0Zz7PgGX0-kHA/edit?usp=sharing"",""แผน!E85"")"),0)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7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IFERROR(__xludf.DUMMYFUNCTION("IMPORTRANGE(""https://docs.google.com/spreadsheets/d/1QqKyyYR6Q21VydFLVH3TRQUabQu_ym0Zz7PgGX0-kHA/edit?usp=sharing"",""แผน!J85"")"),0)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46" t="s">
        <v>17</v>
      </c>
      <c r="E88" s="147"/>
      <c r="F88" s="147"/>
      <c r="G88" s="150"/>
      <c r="H88" s="151" t="s">
        <v>12</v>
      </c>
      <c r="I88" s="420"/>
      <c r="J88" s="420"/>
      <c r="K88" s="153"/>
      <c r="L88" s="154">
        <f ca="1">L89+L90</f>
        <v>376140</v>
      </c>
      <c r="M88" s="154">
        <f ca="1">M89+M90</f>
        <v>376140</v>
      </c>
      <c r="N88" s="154">
        <f ca="1">N89+N90</f>
        <v>376140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6"/>
      <c r="J89" s="616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6"/>
      <c r="J90" s="616"/>
      <c r="K90" s="92"/>
      <c r="L90" s="92">
        <f t="shared" ca="1" si="27"/>
        <v>376140</v>
      </c>
      <c r="M90" s="92">
        <f t="shared" ca="1" si="27"/>
        <v>376140</v>
      </c>
      <c r="N90" s="92">
        <f t="shared" ca="1" si="27"/>
        <v>376140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376140</v>
      </c>
      <c r="M91" s="497">
        <f ca="1">M92+M93</f>
        <v>376140</v>
      </c>
      <c r="N91" s="497">
        <f ca="1">N92+N93</f>
        <v>376140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IFERROR(__xludf.DUMMYFUNCTION("IMPORTRANGE(""https://docs.google.com/spreadsheets/d/1MeEWN-I1oV_STSDYn1IFDPWt_1FKiwhDph83XaGc0o0/edit?usp=sharing"",""งบพรบ!AQ85"")"),376140)</f>
        <v>376140</v>
      </c>
      <c r="M93" s="92">
        <f ca="1">IFERROR(__xludf.DUMMYFUNCTION("IMPORTRANGE(""https://docs.google.com/spreadsheets/d/1MeEWN-I1oV_STSDYn1IFDPWt_1FKiwhDph83XaGc0o0/edit?usp=sharing"",""งบพรบ!AV85"")"),376140)</f>
        <v>376140</v>
      </c>
      <c r="N93" s="92">
        <f ca="1">IFERROR(__xludf.DUMMYFUNCTION("IMPORTRANGE(""https://docs.google.com/spreadsheets/d/1MeEWN-I1oV_STSDYn1IFDPWt_1FKiwhDph83XaGc0o0/edit?usp=sharing"",""งบพรบ!AX85"")"),376140)</f>
        <v>376140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IFERROR(__xludf.DUMMYFUNCTION("IMPORTRANGE(""https://docs.google.com/spreadsheets/d/1MeEWN-I1oV_STSDYn1IFDPWt_1FKiwhDph83XaGc0o0/edit?usp=sharing"",""งบพรบ!AT85"")"),0)</f>
        <v>0</v>
      </c>
      <c r="M96" s="92">
        <f ca="1">IFERROR(__xludf.DUMMYFUNCTION("IMPORTRANGE(""https://docs.google.com/spreadsheets/d/1MeEWN-I1oV_STSDYn1IFDPWt_1FKiwhDph83XaGc0o0/edit?usp=sharing"",""งบพรบ!AW85"")"),0)</f>
        <v>0</v>
      </c>
      <c r="N96" s="92">
        <f ca="1">IFERROR(__xludf.DUMMYFUNCTION("IMPORTRANGE(""https://docs.google.com/spreadsheets/d/1MeEWN-I1oV_STSDYn1IFDPWt_1FKiwhDph83XaGc0o0/edit?usp=sharing"",""งบพรบ!AY85"")"),0)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47" t="s">
        <v>38</v>
      </c>
      <c r="E97" s="172"/>
      <c r="F97" s="172"/>
      <c r="G97" s="173"/>
      <c r="H97" s="761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7" t="s">
        <v>47</v>
      </c>
      <c r="E98" s="447"/>
      <c r="F98" s="177"/>
      <c r="G98" s="178"/>
      <c r="H98" s="622" t="s">
        <v>46</v>
      </c>
      <c r="I98" s="269">
        <f ca="1">IFERROR(__xludf.DUMMYFUNCTION("IMPORTRANGE(""https://docs.google.com/spreadsheets/d/1QqKyyYR6Q21VydFLVH3TRQUabQu_ym0Zz7PgGX0-kHA/edit?usp=sharing"",""แผน!K85"")"),30)</f>
        <v>30</v>
      </c>
      <c r="J98" s="269">
        <f>J102</f>
        <v>30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7" t="s">
        <v>48</v>
      </c>
      <c r="E99" s="447"/>
      <c r="F99" s="177"/>
      <c r="G99" s="178"/>
      <c r="H99" s="622" t="s">
        <v>35</v>
      </c>
      <c r="I99" s="269">
        <f ca="1">IFERROR(__xludf.DUMMYFUNCTION("IMPORTRANGE(""https://docs.google.com/spreadsheets/d/1QqKyyYR6Q21VydFLVH3TRQUabQu_ym0Zz7PgGX0-kHA/edit?usp=sharing"",""แผน!L85"")"),10)</f>
        <v>10</v>
      </c>
      <c r="J99" s="269">
        <f>J104</f>
        <v>10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22" t="s">
        <v>49</v>
      </c>
      <c r="I100" s="269">
        <f ca="1">IFERROR(__xludf.DUMMYFUNCTION("IMPORTRANGE(""https://docs.google.com/spreadsheets/d/1QqKyyYR6Q21VydFLVH3TRQUabQu_ym0Zz7PgGX0-kHA/edit?usp=sharing"",""แผน!M85"")"),2)</f>
        <v>2</v>
      </c>
      <c r="J100" s="269">
        <f>J107+J110</f>
        <v>2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22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5" t="s">
        <v>47</v>
      </c>
      <c r="F102" s="177"/>
      <c r="G102" s="178"/>
      <c r="H102" s="622" t="s">
        <v>46</v>
      </c>
      <c r="I102" s="269">
        <f ca="1">IFERROR(__xludf.DUMMYFUNCTION("IMPORTRANGE(""https://docs.google.com/spreadsheets/d/1QqKyyYR6Q21VydFLVH3TRQUabQu_ym0Zz7PgGX0-kHA/edit?usp=sharing"",""แผน!N85"")"),30)</f>
        <v>30</v>
      </c>
      <c r="J102" s="214">
        <v>30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7" t="s">
        <v>51</v>
      </c>
      <c r="F103" s="177"/>
      <c r="G103" s="178"/>
      <c r="H103" s="622" t="s">
        <v>35</v>
      </c>
      <c r="I103" s="269">
        <f ca="1">IFERROR(__xludf.DUMMYFUNCTION("IMPORTRANGE(""https://docs.google.com/spreadsheets/d/1QqKyyYR6Q21VydFLVH3TRQUabQu_ym0Zz7PgGX0-kHA/edit?usp=sharing"",""แผน!O85"")"),10)</f>
        <v>10</v>
      </c>
      <c r="J103" s="214">
        <v>10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22" t="s">
        <v>35</v>
      </c>
      <c r="I104" s="269">
        <f ca="1">IFERROR(__xludf.DUMMYFUNCTION("IMPORTRANGE(""https://docs.google.com/spreadsheets/d/1QqKyyYR6Q21VydFLVH3TRQUabQu_ym0Zz7PgGX0-kHA/edit?usp=sharing"",""แผน!O85"")"),10)</f>
        <v>10</v>
      </c>
      <c r="J104" s="214">
        <v>10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7" t="s">
        <v>54</v>
      </c>
      <c r="F106" s="177"/>
      <c r="G106" s="178"/>
      <c r="H106" s="622" t="s">
        <v>49</v>
      </c>
      <c r="I106" s="269">
        <f ca="1">IFERROR(__xludf.DUMMYFUNCTION("IMPORTRANGE(""https://docs.google.com/spreadsheets/d/1QqKyyYR6Q21VydFLVH3TRQUabQu_ym0Zz7PgGX0-kHA/edit?usp=sharing"",""แผน!P85"")"),1)</f>
        <v>1</v>
      </c>
      <c r="J106" s="21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22" t="s">
        <v>49</v>
      </c>
      <c r="I107" s="269">
        <f ca="1">IFERROR(__xludf.DUMMYFUNCTION("IMPORTRANGE(""https://docs.google.com/spreadsheets/d/1QqKyyYR6Q21VydFLVH3TRQUabQu_ym0Zz7PgGX0-kHA/edit?usp=sharing"",""แผน!P85"")"),1)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7" t="s">
        <v>57</v>
      </c>
      <c r="F109" s="177"/>
      <c r="G109" s="178"/>
      <c r="H109" s="622" t="s">
        <v>49</v>
      </c>
      <c r="I109" s="269">
        <f ca="1">IFERROR(__xludf.DUMMYFUNCTION("IMPORTRANGE(""https://docs.google.com/spreadsheets/d/1QqKyyYR6Q21VydFLVH3TRQUabQu_ym0Zz7PgGX0-kHA/edit?usp=sharing"",""แผน!Q85"")"),1)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22" t="s">
        <v>49</v>
      </c>
      <c r="I110" s="269">
        <f ca="1">IFERROR(__xludf.DUMMYFUNCTION("IMPORTRANGE(""https://docs.google.com/spreadsheets/d/1QqKyyYR6Q21VydFLVH3TRQUabQu_ym0Zz7PgGX0-kHA/edit?usp=sharing"",""แผน!Q85"")"),1)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6" t="s">
        <v>35</v>
      </c>
      <c r="I111" s="192">
        <f ca="1">IFERROR(__xludf.DUMMYFUNCTION("IMPORTRANGE(""https://docs.google.com/spreadsheets/d/1QqKyyYR6Q21VydFLVH3TRQUabQu_ym0Zz7PgGX0-kHA/edit?usp=sharing"",""แผน!R85"")"),10)</f>
        <v>10</v>
      </c>
      <c r="J111" s="680">
        <f>J114</f>
        <v>10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2</v>
      </c>
      <c r="J112" s="680">
        <f>J115+J116</f>
        <v>2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31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IFERROR(__xludf.DUMMYFUNCTION("IMPORTRANGE(""https://docs.google.com/spreadsheets/d/1QqKyyYR6Q21VydFLVH3TRQUabQu_ym0Zz7PgGX0-kHA/edit?usp=sharing"",""แผน!R85"")"),10)</f>
        <v>10</v>
      </c>
      <c r="J113" s="214">
        <v>10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7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IFERROR(__xludf.DUMMYFUNCTION("IMPORTRANGE(""https://docs.google.com/spreadsheets/d/1QqKyyYR6Q21VydFLVH3TRQUabQu_ym0Zz7PgGX0-kHA/edit?usp=sharing"",""แผน!R85"")"),10)</f>
        <v>10</v>
      </c>
      <c r="J114" s="214">
        <v>10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7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IFERROR(__xludf.DUMMYFUNCTION("IMPORTRANGE(""https://docs.google.com/spreadsheets/d/1QqKyyYR6Q21VydFLVH3TRQUabQu_ym0Zz7PgGX0-kHA/edit?usp=sharing"",""แผน!S85"")"),1)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7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IFERROR(__xludf.DUMMYFUNCTION("IMPORTRANGE(""https://docs.google.com/spreadsheets/d/1QqKyyYR6Q21VydFLVH3TRQUabQu_ym0Zz7PgGX0-kHA/edit?usp=sharing"",""แผน!T85"")"),1)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46" t="s">
        <v>17</v>
      </c>
      <c r="E119" s="147"/>
      <c r="F119" s="147"/>
      <c r="G119" s="150"/>
      <c r="H119" s="151" t="s">
        <v>12</v>
      </c>
      <c r="I119" s="420"/>
      <c r="J119" s="420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6"/>
      <c r="J120" s="616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6"/>
      <c r="J121" s="616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IFERROR(__xludf.DUMMYFUNCTION("IMPORTRANGE(""https://docs.google.com/spreadsheets/d/1MeEWN-I1oV_STSDYn1IFDPWt_1FKiwhDph83XaGc0o0/edit?usp=sharing"",""งบพรบ!BA85"")"),0)</f>
        <v>0</v>
      </c>
      <c r="M124" s="92">
        <f ca="1">IFERROR(__xludf.DUMMYFUNCTION("IMPORTRANGE(""https://docs.google.com/spreadsheets/d/1MeEWN-I1oV_STSDYn1IFDPWt_1FKiwhDph83XaGc0o0/edit?usp=sharing"",""งบพรบ!BF85"")"),0)</f>
        <v>0</v>
      </c>
      <c r="N124" s="92">
        <f ca="1">IFERROR(__xludf.DUMMYFUNCTION("IMPORTRANGE(""https://docs.google.com/spreadsheets/d/1MeEWN-I1oV_STSDYn1IFDPWt_1FKiwhDph83XaGc0o0/edit?usp=sharing"",""งบพรบ!BH85"")"),0)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IFERROR(__xludf.DUMMYFUNCTION("IMPORTRANGE(""https://docs.google.com/spreadsheets/d/1MeEWN-I1oV_STSDYn1IFDPWt_1FKiwhDph83XaGc0o0/edit?usp=sharing"",""งบพรบ!BD85"")"),0)</f>
        <v>0</v>
      </c>
      <c r="M127" s="92">
        <f ca="1">IFERROR(__xludf.DUMMYFUNCTION("IMPORTRANGE(""https://docs.google.com/spreadsheets/d/1MeEWN-I1oV_STSDYn1IFDPWt_1FKiwhDph83XaGc0o0/edit?usp=sharing"",""งบพรบ!BG85"")"),0)</f>
        <v>0</v>
      </c>
      <c r="N127" s="92">
        <f ca="1">IFERROR(__xludf.DUMMYFUNCTION("IMPORTRANGE(""https://docs.google.com/spreadsheets/d/1MeEWN-I1oV_STSDYn1IFDPWt_1FKiwhDph83XaGc0o0/edit?usp=sharing"",""งบพรบ!BI85"")"),0)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46" t="s">
        <v>17</v>
      </c>
      <c r="E132" s="147"/>
      <c r="F132" s="147"/>
      <c r="G132" s="150"/>
      <c r="H132" s="151" t="s">
        <v>12</v>
      </c>
      <c r="I132" s="420"/>
      <c r="J132" s="420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6"/>
      <c r="J133" s="616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6"/>
      <c r="J134" s="616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IFERROR(__xludf.DUMMYFUNCTION("IMPORTRANGE(""https://docs.google.com/spreadsheets/d/1MeEWN-I1oV_STSDYn1IFDPWt_1FKiwhDph83XaGc0o0/edit?usp=sharing"",""งบพรบ!BK85"")"),0)</f>
        <v>0</v>
      </c>
      <c r="M137" s="92">
        <f ca="1">IFERROR(__xludf.DUMMYFUNCTION("IMPORTRANGE(""https://docs.google.com/spreadsheets/d/1MeEWN-I1oV_STSDYn1IFDPWt_1FKiwhDph83XaGc0o0/edit?usp=sharing"",""งบพรบ!BP85"")"),0)</f>
        <v>0</v>
      </c>
      <c r="N137" s="92">
        <f ca="1">IFERROR(__xludf.DUMMYFUNCTION("IMPORTRANGE(""https://docs.google.com/spreadsheets/d/1MeEWN-I1oV_STSDYn1IFDPWt_1FKiwhDph83XaGc0o0/edit?usp=sharing"",""งบพรบ!BR85"")"),0)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IFERROR(__xludf.DUMMYFUNCTION("IMPORTRANGE(""https://docs.google.com/spreadsheets/d/1MeEWN-I1oV_STSDYn1IFDPWt_1FKiwhDph83XaGc0o0/edit?usp=sharing"",""งบพรบ!BN85"")"),0)</f>
        <v>0</v>
      </c>
      <c r="M140" s="92">
        <f ca="1">IFERROR(__xludf.DUMMYFUNCTION("IMPORTRANGE(""https://docs.google.com/spreadsheets/d/1MeEWN-I1oV_STSDYn1IFDPWt_1FKiwhDph83XaGc0o0/edit?usp=sharing"",""งบพรบ!BQ85"")"),0)</f>
        <v>0</v>
      </c>
      <c r="N140" s="92">
        <f ca="1">IFERROR(__xludf.DUMMYFUNCTION("IMPORTRANGE(""https://docs.google.com/spreadsheets/d/1MeEWN-I1oV_STSDYn1IFDPWt_1FKiwhDph83XaGc0o0/edit?usp=sharing"",""งบพรบ!BS85"")"),0)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4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IFERROR(__xludf.DUMMYFUNCTION("IMPORTRANGE(""https://docs.google.com/spreadsheets/d/1QqKyyYR6Q21VydFLVH3TRQUabQu_ym0Zz7PgGX0-kHA/edit?usp=sharing"",""แผน!U85"")"),0)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IFERROR(__xludf.DUMMYFUNCTION("IMPORTRANGE(""https://docs.google.com/spreadsheets/d/1QqKyyYR6Q21VydFLVH3TRQUabQu_ym0Zz7PgGX0-kHA/edit?usp=sharing"",""แผน!V85"")"),0)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IFERROR(__xludf.DUMMYFUNCTION("IMPORTRANGE(""https://docs.google.com/spreadsheets/d/1QqKyyYR6Q21VydFLVH3TRQUabQu_ym0Zz7PgGX0-kHA/edit?usp=sharing"",""แผน!W85"")"),0)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 hidden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 hidden="1">
      <c r="A148" s="216"/>
      <c r="B148" s="208" t="s">
        <v>77</v>
      </c>
      <c r="C148" s="208"/>
      <c r="D148" s="208"/>
      <c r="E148" s="859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6"/>
      <c r="B149" s="147"/>
      <c r="C149" s="148" t="s">
        <v>16</v>
      </c>
      <c r="D149" s="846" t="s">
        <v>17</v>
      </c>
      <c r="E149" s="147"/>
      <c r="F149" s="147"/>
      <c r="G149" s="150"/>
      <c r="H149" s="151" t="s">
        <v>12</v>
      </c>
      <c r="I149" s="420"/>
      <c r="J149" s="420"/>
      <c r="K149" s="153"/>
      <c r="L149" s="154">
        <f ca="1">L150+L151</f>
        <v>0</v>
      </c>
      <c r="M149" s="154">
        <f ca="1">M150+M151</f>
        <v>0</v>
      </c>
      <c r="N149" s="154">
        <f ca="1">N150+N151</f>
        <v>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6"/>
      <c r="J150" s="616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6"/>
      <c r="J151" s="616"/>
      <c r="K151" s="92"/>
      <c r="L151" s="92">
        <f t="shared" ca="1" si="37"/>
        <v>0</v>
      </c>
      <c r="M151" s="92">
        <f t="shared" ca="1" si="37"/>
        <v>0</v>
      </c>
      <c r="N151" s="92">
        <f t="shared" ca="1" si="37"/>
        <v>0</v>
      </c>
      <c r="O151" s="92">
        <f t="shared" ca="1" si="35"/>
        <v>0</v>
      </c>
      <c r="P151" s="92">
        <f t="shared" ca="1" si="36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0</v>
      </c>
      <c r="N152" s="497">
        <f ca="1">N153+N154</f>
        <v>0</v>
      </c>
      <c r="O152" s="497">
        <f t="shared" ca="1" si="35"/>
        <v>0</v>
      </c>
      <c r="P152" s="497">
        <f t="shared" ca="1" si="36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IFERROR(__xludf.DUMMYFUNCTION("IMPORTRANGE(""https://docs.google.com/spreadsheets/d/1MeEWN-I1oV_STSDYn1IFDPWt_1FKiwhDph83XaGc0o0/edit?usp=sharing"",""งบพรบ!BU85"")"),0)</f>
        <v>0</v>
      </c>
      <c r="M154" s="92">
        <f ca="1">IFERROR(__xludf.DUMMYFUNCTION("IMPORTRANGE(""https://docs.google.com/spreadsheets/d/1MeEWN-I1oV_STSDYn1IFDPWt_1FKiwhDph83XaGc0o0/edit?usp=sharing"",""งบพรบ!BZ85"")"),0)</f>
        <v>0</v>
      </c>
      <c r="N154" s="92">
        <f ca="1">IFERROR(__xludf.DUMMYFUNCTION("IMPORTRANGE(""https://docs.google.com/spreadsheets/d/1MeEWN-I1oV_STSDYn1IFDPWt_1FKiwhDph83XaGc0o0/edit?usp=sharing"",""งบพรบ!CB85"")"),0)</f>
        <v>0</v>
      </c>
      <c r="O154" s="92">
        <f t="shared" ca="1" si="35"/>
        <v>0</v>
      </c>
      <c r="P154" s="92">
        <f t="shared" ca="1" si="36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IFERROR(__xludf.DUMMYFUNCTION("IMPORTRANGE(""https://docs.google.com/spreadsheets/d/1MeEWN-I1oV_STSDYn1IFDPWt_1FKiwhDph83XaGc0o0/edit?usp=sharing"",""งบพรบ!BX85"")"),0)</f>
        <v>0</v>
      </c>
      <c r="M157" s="92">
        <f ca="1">IFERROR(__xludf.DUMMYFUNCTION("IMPORTRANGE(""https://docs.google.com/spreadsheets/d/1MeEWN-I1oV_STSDYn1IFDPWt_1FKiwhDph83XaGc0o0/edit?usp=sharing"",""งบพรบ!CA85"")"),0)</f>
        <v>0</v>
      </c>
      <c r="N157" s="92">
        <f ca="1">IFERROR(__xludf.DUMMYFUNCTION("IMPORTRANGE(""https://docs.google.com/spreadsheets/d/1MeEWN-I1oV_STSDYn1IFDPWt_1FKiwhDph83XaGc0o0/edit?usp=sharing"",""งบพรบ!CC85"")"),0)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4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IFERROR(__xludf.DUMMYFUNCTION("IMPORTRANGE(""https://docs.google.com/spreadsheets/d/1QqKyyYR6Q21VydFLVH3TRQUabQu_ym0Zz7PgGX0-kHA/edit?usp=sharing"",""แผน!X85"")"),0)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6"/>
      <c r="J160" s="616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58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10</v>
      </c>
      <c r="J164" s="252">
        <f>J174+J177</f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46" t="s">
        <v>17</v>
      </c>
      <c r="E165" s="147"/>
      <c r="F165" s="147"/>
      <c r="G165" s="150"/>
      <c r="H165" s="151" t="s">
        <v>12</v>
      </c>
      <c r="I165" s="420"/>
      <c r="J165" s="420"/>
      <c r="K165" s="153"/>
      <c r="L165" s="154">
        <f ca="1">L166+L167</f>
        <v>21050</v>
      </c>
      <c r="M165" s="154">
        <f ca="1">M166+M167</f>
        <v>63110</v>
      </c>
      <c r="N165" s="154">
        <f ca="1">N166+N167</f>
        <v>63108</v>
      </c>
      <c r="O165" s="154">
        <f t="shared" ref="O165:O173" ca="1" si="38">IF(L165&gt;0,N165*100/L165,0)</f>
        <v>299.80047505938245</v>
      </c>
      <c r="P165" s="154">
        <f t="shared" ref="P165:P173" ca="1" si="39">IF(M165&gt;0,N165*100/M165,0)</f>
        <v>99.996830930122016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6"/>
      <c r="J166" s="616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6"/>
      <c r="J167" s="616"/>
      <c r="K167" s="92"/>
      <c r="L167" s="92">
        <f t="shared" ca="1" si="40"/>
        <v>21050</v>
      </c>
      <c r="M167" s="92">
        <f t="shared" ca="1" si="40"/>
        <v>63110</v>
      </c>
      <c r="N167" s="92">
        <f t="shared" ca="1" si="40"/>
        <v>63108</v>
      </c>
      <c r="O167" s="92">
        <f t="shared" ca="1" si="38"/>
        <v>299.80047505938245</v>
      </c>
      <c r="P167" s="92">
        <f t="shared" ca="1" si="39"/>
        <v>99.996830930122016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21050</v>
      </c>
      <c r="M168" s="497">
        <f ca="1">M169+M170</f>
        <v>63110</v>
      </c>
      <c r="N168" s="497">
        <f ca="1">N169+N170</f>
        <v>63108</v>
      </c>
      <c r="O168" s="497">
        <f t="shared" ca="1" si="38"/>
        <v>299.80047505938245</v>
      </c>
      <c r="P168" s="497">
        <f t="shared" ca="1" si="39"/>
        <v>99.996830930122016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IFERROR(__xludf.DUMMYFUNCTION("IMPORTRANGE(""https://docs.google.com/spreadsheets/d/1MeEWN-I1oV_STSDYn1IFDPWt_1FKiwhDph83XaGc0o0/edit?usp=sharing"",""งบพรบ!CE85"")"),21050)</f>
        <v>21050</v>
      </c>
      <c r="M170" s="92">
        <f ca="1">IFERROR(__xludf.DUMMYFUNCTION("IMPORTRANGE(""https://docs.google.com/spreadsheets/d/1MeEWN-I1oV_STSDYn1IFDPWt_1FKiwhDph83XaGc0o0/edit?usp=sharing"",""งบพรบ!CJ85"")"),63110)</f>
        <v>63110</v>
      </c>
      <c r="N170" s="92">
        <f ca="1">IFERROR(__xludf.DUMMYFUNCTION("IMPORTRANGE(""https://docs.google.com/spreadsheets/d/1MeEWN-I1oV_STSDYn1IFDPWt_1FKiwhDph83XaGc0o0/edit?usp=sharing"",""งบพรบ!CL85"")"),63108)</f>
        <v>63108</v>
      </c>
      <c r="O170" s="92">
        <f t="shared" ca="1" si="38"/>
        <v>299.80047505938245</v>
      </c>
      <c r="P170" s="92">
        <f t="shared" ca="1" si="39"/>
        <v>99.996830930122016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IFERROR(__xludf.DUMMYFUNCTION("IMPORTRANGE(""https://docs.google.com/spreadsheets/d/1MeEWN-I1oV_STSDYn1IFDPWt_1FKiwhDph83XaGc0o0/edit?usp=sharing"",""งบพรบ!CH85"")"),0)</f>
        <v>0</v>
      </c>
      <c r="M173" s="92">
        <f ca="1">IFERROR(__xludf.DUMMYFUNCTION("IMPORTRANGE(""https://docs.google.com/spreadsheets/d/1MeEWN-I1oV_STSDYn1IFDPWt_1FKiwhDph83XaGc0o0/edit?usp=sharing"",""งบพรบ!CK85"")"),0)</f>
        <v>0</v>
      </c>
      <c r="N173" s="92">
        <f ca="1">IFERROR(__xludf.DUMMYFUNCTION("IMPORTRANGE(""https://docs.google.com/spreadsheets/d/1MeEWN-I1oV_STSDYn1IFDPWt_1FKiwhDph83XaGc0o0/edit?usp=sharing"",""งบพรบ!CM85"")"),0)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10</v>
      </c>
      <c r="J174" s="260">
        <f>J176</f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47" t="s">
        <v>38</v>
      </c>
      <c r="E175" s="172"/>
      <c r="F175" s="172"/>
      <c r="G175" s="173"/>
      <c r="H175" s="761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5" t="s">
        <v>85</v>
      </c>
      <c r="E176" s="177"/>
      <c r="F176" s="177"/>
      <c r="G176" s="178"/>
      <c r="H176" s="622" t="s">
        <v>35</v>
      </c>
      <c r="I176" s="269">
        <f ca="1">IFERROR(__xludf.DUMMYFUNCTION("IMPORTRANGE(""https://docs.google.com/spreadsheets/d/1QqKyyYR6Q21VydFLVH3TRQUabQu_ym0Zz7PgGX0-kHA/edit?usp=sharing"",""แผน!Y85"")"),10)</f>
        <v>10</v>
      </c>
      <c r="J176" s="214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61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46" t="s">
        <v>17</v>
      </c>
      <c r="E181" s="147"/>
      <c r="F181" s="147"/>
      <c r="G181" s="150"/>
      <c r="H181" s="151" t="s">
        <v>12</v>
      </c>
      <c r="I181" s="420"/>
      <c r="J181" s="420"/>
      <c r="K181" s="153"/>
      <c r="L181" s="154">
        <f ca="1">L182+L183</f>
        <v>182100</v>
      </c>
      <c r="M181" s="154">
        <f ca="1">M182+M183</f>
        <v>182100</v>
      </c>
      <c r="N181" s="154">
        <f ca="1">N182+N183</f>
        <v>182100</v>
      </c>
      <c r="O181" s="154">
        <f t="shared" ref="O181:O189" ca="1" si="41">IF(L181&gt;0,N181*100/L181,0)</f>
        <v>100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6"/>
      <c r="J182" s="616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6"/>
      <c r="J183" s="616"/>
      <c r="K183" s="92"/>
      <c r="L183" s="92">
        <f t="shared" ca="1" si="43"/>
        <v>182100</v>
      </c>
      <c r="M183" s="92">
        <f t="shared" ca="1" si="43"/>
        <v>182100</v>
      </c>
      <c r="N183" s="92">
        <f t="shared" ca="1" si="43"/>
        <v>182100</v>
      </c>
      <c r="O183" s="92">
        <f t="shared" ca="1" si="41"/>
        <v>100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182100</v>
      </c>
      <c r="M184" s="497">
        <f ca="1">M185+M186</f>
        <v>182100</v>
      </c>
      <c r="N184" s="497">
        <f ca="1">N185+N186</f>
        <v>182100</v>
      </c>
      <c r="O184" s="497">
        <f t="shared" ca="1" si="41"/>
        <v>100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IFERROR(__xludf.DUMMYFUNCTION("IMPORTRANGE(""https://docs.google.com/spreadsheets/d/1MeEWN-I1oV_STSDYn1IFDPWt_1FKiwhDph83XaGc0o0/edit?usp=sharing"",""งบพรบ!CO85"")"),182100)</f>
        <v>182100</v>
      </c>
      <c r="M186" s="92">
        <f ca="1">IFERROR(__xludf.DUMMYFUNCTION("IMPORTRANGE(""https://docs.google.com/spreadsheets/d/1MeEWN-I1oV_STSDYn1IFDPWt_1FKiwhDph83XaGc0o0/edit?usp=sharing"",""งบพรบ!CT85"")"),182100)</f>
        <v>182100</v>
      </c>
      <c r="N186" s="92">
        <f ca="1">IFERROR(__xludf.DUMMYFUNCTION("IMPORTRANGE(""https://docs.google.com/spreadsheets/d/1MeEWN-I1oV_STSDYn1IFDPWt_1FKiwhDph83XaGc0o0/edit?usp=sharing"",""งบพรบ!CV85"")"),182100)</f>
        <v>182100</v>
      </c>
      <c r="O186" s="92">
        <f t="shared" ca="1" si="41"/>
        <v>100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IFERROR(__xludf.DUMMYFUNCTION("IMPORTRANGE(""https://docs.google.com/spreadsheets/d/1MeEWN-I1oV_STSDYn1IFDPWt_1FKiwhDph83XaGc0o0/edit?usp=sharing"",""งบพรบ!CR85"")"),0)</f>
        <v>0</v>
      </c>
      <c r="M189" s="92">
        <f ca="1">IFERROR(__xludf.DUMMYFUNCTION("IMPORTRANGE(""https://docs.google.com/spreadsheets/d/1MeEWN-I1oV_STSDYn1IFDPWt_1FKiwhDph83XaGc0o0/edit?usp=sharing"",""งบพรบ!CU85"")"),0)</f>
        <v>0</v>
      </c>
      <c r="N189" s="92">
        <f ca="1">IFERROR(__xludf.DUMMYFUNCTION("IMPORTRANGE(""https://docs.google.com/spreadsheets/d/1MeEWN-I1oV_STSDYn1IFDPWt_1FKiwhDph83XaGc0o0/edit?usp=sharing"",""งบพรบ!CW85"")"),0)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54" t="s">
        <v>17</v>
      </c>
      <c r="E191" s="147"/>
      <c r="F191" s="147"/>
      <c r="G191" s="150"/>
      <c r="H191" s="274" t="s">
        <v>12</v>
      </c>
      <c r="I191" s="420"/>
      <c r="J191" s="420"/>
      <c r="K191" s="153"/>
      <c r="L191" s="154">
        <f ca="1">IFERROR(__xludf.DUMMYFUNCTION("IMPORTRANGE(""https://docs.google.com/spreadsheets/d/1QqKyyYR6Q21VydFLVH3TRQUabQu_ym0Zz7PgGX0-kHA/edit?usp=sharing"",""แผน!Z85"")"),6000)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47" t="s">
        <v>38</v>
      </c>
      <c r="E192" s="172"/>
      <c r="F192" s="172"/>
      <c r="G192" s="173"/>
      <c r="H192" s="761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7" t="s">
        <v>91</v>
      </c>
      <c r="E193" s="177"/>
      <c r="F193" s="177"/>
      <c r="G193" s="178"/>
      <c r="H193" s="763" t="s">
        <v>90</v>
      </c>
      <c r="I193" s="269">
        <f ca="1">IFERROR(__xludf.DUMMYFUNCTION("IMPORTRANGE(""https://docs.google.com/spreadsheets/d/1QqKyyYR6Q21VydFLVH3TRQUabQu_ym0Zz7PgGX0-kHA/edit?usp=sharing"",""แผน!AC85"")"),4)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7" t="s">
        <v>92</v>
      </c>
      <c r="E194" s="177"/>
      <c r="F194" s="177"/>
      <c r="G194" s="178"/>
      <c r="H194" s="276" t="s">
        <v>35</v>
      </c>
      <c r="I194" s="269"/>
      <c r="J194" s="269">
        <f>J195+J196</f>
        <v>178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7" t="s">
        <v>93</v>
      </c>
      <c r="F195" s="177"/>
      <c r="G195" s="178"/>
      <c r="H195" s="276" t="s">
        <v>35</v>
      </c>
      <c r="I195" s="269"/>
      <c r="J195" s="214">
        <v>178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7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2</v>
      </c>
      <c r="J197" s="271">
        <f>J204</f>
        <v>2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54" t="s">
        <v>17</v>
      </c>
      <c r="E198" s="147"/>
      <c r="F198" s="147"/>
      <c r="G198" s="150"/>
      <c r="H198" s="274" t="s">
        <v>12</v>
      </c>
      <c r="I198" s="419"/>
      <c r="J198" s="419"/>
      <c r="K198" s="279"/>
      <c r="L198" s="154">
        <f ca="1">L199+L200+L201+L202</f>
        <v>26000</v>
      </c>
      <c r="M198" s="154"/>
      <c r="N198" s="154">
        <f>N199+N200+N201+N202</f>
        <v>26000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IFERROR(__xludf.DUMMYFUNCTION("IMPORTRANGE(""https://docs.google.com/spreadsheets/d/1QqKyyYR6Q21VydFLVH3TRQUabQu_ym0Zz7PgGX0-kHA/edit?usp=sharing"",""แผน!AE85"")"),2000)</f>
        <v>2000</v>
      </c>
      <c r="M199" s="497"/>
      <c r="N199" s="826">
        <v>2000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3"/>
      <c r="B200" s="280"/>
      <c r="C200" s="210"/>
      <c r="D200" s="281" t="s">
        <v>98</v>
      </c>
      <c r="E200" s="32"/>
      <c r="F200" s="32"/>
      <c r="G200" s="34"/>
      <c r="H200" s="622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IFERROR(__xludf.DUMMYFUNCTION("IMPORTRANGE(""https://docs.google.com/spreadsheets/d/1QqKyyYR6Q21VydFLVH3TRQUabQu_ym0Zz7PgGX0-kHA/edit?usp=sharing"",""แผน!AF85"")"),16000)</f>
        <v>16000</v>
      </c>
      <c r="M200" s="497"/>
      <c r="N200" s="826">
        <v>16000</v>
      </c>
      <c r="O200" s="497"/>
      <c r="P200" s="497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2"/>
      <c r="F201" s="32"/>
      <c r="G201" s="34"/>
      <c r="H201" s="622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IFERROR(__xludf.DUMMYFUNCTION("IMPORTRANGE(""https://docs.google.com/spreadsheets/d/1QqKyyYR6Q21VydFLVH3TRQUabQu_ym0Zz7PgGX0-kHA/edit?usp=sharing"",""แผน!AG85"")"),8000)</f>
        <v>8000</v>
      </c>
      <c r="M201" s="497"/>
      <c r="N201" s="826">
        <v>8000</v>
      </c>
      <c r="O201" s="497"/>
      <c r="P201" s="497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2"/>
      <c r="F202" s="32"/>
      <c r="G202" s="34"/>
      <c r="H202" s="622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IFERROR(__xludf.DUMMYFUNCTION("IMPORTRANGE(""https://docs.google.com/spreadsheets/d/1QqKyyYR6Q21VydFLVH3TRQUabQu_ym0Zz7PgGX0-kHA/edit?usp=sharing"",""แผน!AH85"")"),0)</f>
        <v>0</v>
      </c>
      <c r="M202" s="497"/>
      <c r="N202" s="826">
        <v>0</v>
      </c>
      <c r="O202" s="497"/>
      <c r="P202" s="497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69"/>
      <c r="B203" s="170"/>
      <c r="C203" s="210" t="s">
        <v>16</v>
      </c>
      <c r="D203" s="847" t="s">
        <v>38</v>
      </c>
      <c r="E203" s="172"/>
      <c r="F203" s="172"/>
      <c r="G203" s="173"/>
      <c r="H203" s="761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61" t="s">
        <v>96</v>
      </c>
      <c r="I204" s="269">
        <f ca="1">IFERROR(__xludf.DUMMYFUNCTION("IMPORTRANGE(""https://docs.google.com/spreadsheets/d/1QqKyyYR6Q21VydFLVH3TRQUabQu_ym0Zz7PgGX0-kHA/edit?usp=sharing"",""แผน!AI85"")"),2)</f>
        <v>2</v>
      </c>
      <c r="J204" s="214">
        <v>2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7" t="s">
        <v>59</v>
      </c>
      <c r="E205" s="177"/>
      <c r="F205" s="177"/>
      <c r="G205" s="178"/>
      <c r="H205" s="761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31" t="s">
        <v>102</v>
      </c>
      <c r="F206" s="286"/>
      <c r="G206" s="287"/>
      <c r="H206" s="288" t="s">
        <v>96</v>
      </c>
      <c r="I206" s="269">
        <v>2</v>
      </c>
      <c r="J206" s="214">
        <v>2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7"/>
      <c r="E207" s="447" t="s">
        <v>103</v>
      </c>
      <c r="F207" s="177"/>
      <c r="G207" s="177"/>
      <c r="H207" s="289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54" t="s">
        <v>17</v>
      </c>
      <c r="E209" s="147"/>
      <c r="F209" s="147"/>
      <c r="G209" s="150"/>
      <c r="H209" s="274" t="s">
        <v>12</v>
      </c>
      <c r="I209" s="419"/>
      <c r="J209" s="419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IFERROR(__xludf.DUMMYFUNCTION("IMPORTRANGE(""https://docs.google.com/spreadsheets/d/1QqKyyYR6Q21VydFLVH3TRQUabQu_ym0Zz7PgGX0-kHA/edit?usp=sharing"",""แผน!AK85"")"),0)</f>
        <v>0</v>
      </c>
      <c r="M210" s="497"/>
      <c r="N210" s="826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3"/>
      <c r="B211" s="280"/>
      <c r="C211" s="291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IFERROR(__xludf.DUMMYFUNCTION("IMPORTRANGE(""https://docs.google.com/spreadsheets/d/1QqKyyYR6Q21VydFLVH3TRQUabQu_ym0Zz7PgGX0-kHA/edit?usp=sharing"",""แผน!AL85"")"),0)</f>
        <v>0</v>
      </c>
      <c r="M211" s="497"/>
      <c r="N211" s="826">
        <v>0</v>
      </c>
      <c r="O211" s="497"/>
      <c r="P211" s="497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IFERROR(__xludf.DUMMYFUNCTION("IMPORTRANGE(""https://docs.google.com/spreadsheets/d/1QqKyyYR6Q21VydFLVH3TRQUabQu_ym0Zz7PgGX0-kHA/edit?usp=sharing"",""แผน!AM85"")"),0)</f>
        <v>0</v>
      </c>
      <c r="M212" s="497"/>
      <c r="N212" s="826">
        <v>0</v>
      </c>
      <c r="O212" s="497"/>
      <c r="P212" s="497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69"/>
      <c r="B213" s="170"/>
      <c r="C213" s="291" t="s">
        <v>16</v>
      </c>
      <c r="D213" s="847" t="s">
        <v>38</v>
      </c>
      <c r="E213" s="172"/>
      <c r="F213" s="172"/>
      <c r="G213" s="173"/>
      <c r="H213" s="761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61" t="s">
        <v>96</v>
      </c>
      <c r="I214" s="269">
        <f ca="1">IFERROR(__xludf.DUMMYFUNCTION("IMPORTRANGE(""https://docs.google.com/spreadsheets/d/1QqKyyYR6Q21VydFLVH3TRQUabQu_ym0Zz7PgGX0-kHA/edit?usp=sharing"",""แผน!AN85"")"),0)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61" t="s">
        <v>96</v>
      </c>
      <c r="I215" s="269">
        <f ca="1">IFERROR(__xludf.DUMMYFUNCTION("IMPORTRANGE(""https://docs.google.com/spreadsheets/d/1QqKyyYR6Q21VydFLVH3TRQUabQu_ym0Zz7PgGX0-kHA/edit?usp=sharing"",""แผน!AN85"")"),0)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ca="1">I224</f>
        <v>12800</v>
      </c>
      <c r="J216" s="271">
        <f>J224</f>
        <v>12800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54" t="s">
        <v>17</v>
      </c>
      <c r="E217" s="147"/>
      <c r="F217" s="147"/>
      <c r="G217" s="150"/>
      <c r="H217" s="274" t="s">
        <v>12</v>
      </c>
      <c r="I217" s="419"/>
      <c r="J217" s="419"/>
      <c r="K217" s="279"/>
      <c r="L217" s="154">
        <f ca="1">L218+L219+L220</f>
        <v>7100</v>
      </c>
      <c r="M217" s="154"/>
      <c r="N217" s="154">
        <f>N218+N219+N220</f>
        <v>7100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IFERROR(__xludf.DUMMYFUNCTION("IMPORTRANGE(""https://docs.google.com/spreadsheets/d/1QqKyyYR6Q21VydFLVH3TRQUabQu_ym0Zz7PgGX0-kHA/edit?usp=sharing"",""แผน!AP85"")"),3000)</f>
        <v>3000</v>
      </c>
      <c r="M218" s="497"/>
      <c r="N218" s="826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3"/>
      <c r="B219" s="280"/>
      <c r="C219" s="291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IFERROR(__xludf.DUMMYFUNCTION("IMPORTRANGE(""https://docs.google.com/spreadsheets/d/1QqKyyYR6Q21VydFLVH3TRQUabQu_ym0Zz7PgGX0-kHA/edit?usp=sharing"",""แผน!AQ85"")"),4100)</f>
        <v>4100</v>
      </c>
      <c r="M219" s="497"/>
      <c r="N219" s="826">
        <v>4100</v>
      </c>
      <c r="O219" s="497"/>
      <c r="P219" s="497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IFERROR(__xludf.DUMMYFUNCTION("IMPORTRANGE(""https://docs.google.com/spreadsheets/d/1QqKyyYR6Q21VydFLVH3TRQUabQu_ym0Zz7PgGX0-kHA/edit?usp=sharing"",""แผน!AR85"")"),0)</f>
        <v>0</v>
      </c>
      <c r="M220" s="497"/>
      <c r="N220" s="826">
        <v>0</v>
      </c>
      <c r="O220" s="497"/>
      <c r="P220" s="497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69"/>
      <c r="B221" s="170"/>
      <c r="C221" s="291" t="s">
        <v>16</v>
      </c>
      <c r="D221" s="847" t="s">
        <v>38</v>
      </c>
      <c r="E221" s="172"/>
      <c r="F221" s="172"/>
      <c r="G221" s="173"/>
      <c r="H221" s="761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61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63" t="s">
        <v>109</v>
      </c>
      <c r="I223" s="269">
        <f ca="1">IFERROR(__xludf.DUMMYFUNCTION("IMPORTRANGE(""https://docs.google.com/spreadsheets/d/1QqKyyYR6Q21VydFLVH3TRQUabQu_ym0Zz7PgGX0-kHA/edit?usp=sharing"",""แผน!AT85"")"),12800)</f>
        <v>12800</v>
      </c>
      <c r="J223" s="214">
        <v>12800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63" t="s">
        <v>109</v>
      </c>
      <c r="I224" s="269">
        <f ca="1">IFERROR(__xludf.DUMMYFUNCTION("IMPORTRANGE(""https://docs.google.com/spreadsheets/d/1QqKyyYR6Q21VydFLVH3TRQUabQu_ym0Zz7PgGX0-kHA/edit?usp=sharing"",""แผน!AT85"")"),12800)</f>
        <v>12800</v>
      </c>
      <c r="J224" s="214">
        <v>12800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63" t="s">
        <v>35</v>
      </c>
      <c r="I225" s="269">
        <f ca="1">IFERROR(__xludf.DUMMYFUNCTION("IMPORTRANGE(""https://docs.google.com/spreadsheets/d/1QqKyyYR6Q21VydFLVH3TRQUabQu_ym0Zz7PgGX0-kHA/edit?usp=sharing"",""แผน!AS85"")"),0)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0</v>
      </c>
      <c r="J226" s="344">
        <f>J237+J248</f>
        <v>0</v>
      </c>
      <c r="K226" s="345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0</v>
      </c>
      <c r="M227" s="355"/>
      <c r="N227" s="355">
        <f>N238+N249</f>
        <v>0</v>
      </c>
      <c r="O227" s="855"/>
      <c r="P227" s="85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6"/>
      <c r="J229" s="616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6"/>
      <c r="J230" s="616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6"/>
      <c r="J231" s="616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6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6">
        <f ca="1">I244+I255</f>
        <v>0</v>
      </c>
      <c r="J233" s="616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6"/>
      <c r="J234" s="616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6">
        <f>I246+I257</f>
        <v>0</v>
      </c>
      <c r="J235" s="616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6">
        <f>I247+I258</f>
        <v>0</v>
      </c>
      <c r="J236" s="616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270" t="s">
        <v>332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46" t="s">
        <v>17</v>
      </c>
      <c r="E238" s="147"/>
      <c r="F238" s="147"/>
      <c r="G238" s="150"/>
      <c r="H238" s="274" t="s">
        <v>12</v>
      </c>
      <c r="I238" s="419"/>
      <c r="J238" s="419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IFERROR(__xludf.DUMMYFUNCTION("IMPORTRANGE(""https://docs.google.com/spreadsheets/d/1QqKyyYR6Q21VydFLVH3TRQUabQu_ym0Zz7PgGX0-kHA/edit?usp=sharing"",""แผน!AV85"")"),0)</f>
        <v>0</v>
      </c>
      <c r="M239" s="321"/>
      <c r="N239" s="853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IFERROR(__xludf.DUMMYFUNCTION("IMPORTRANGE(""https://docs.google.com/spreadsheets/d/1QqKyyYR6Q21VydFLVH3TRQUabQu_ym0Zz7PgGX0-kHA/edit?usp=sharing"",""แผน!AW85"")"),0)</f>
        <v>0</v>
      </c>
      <c r="M240" s="321"/>
      <c r="N240" s="853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IFERROR(__xludf.DUMMYFUNCTION("IMPORTRANGE(""https://docs.google.com/spreadsheets/d/1QqKyyYR6Q21VydFLVH3TRQUabQu_ym0Zz7PgGX0-kHA/edit?usp=sharing"",""แผน!AX85"")"),0)</f>
        <v>0</v>
      </c>
      <c r="M241" s="321"/>
      <c r="N241" s="853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IFERROR(__xludf.DUMMYFUNCTION("IMPORTRANGE(""https://docs.google.com/spreadsheets/d/1QqKyyYR6Q21VydFLVH3TRQUabQu_ym0Zz7PgGX0-kHA/edit?usp=sharing"",""แผน!AY85"")"),0)</f>
        <v>0</v>
      </c>
      <c r="M242" s="321"/>
      <c r="N242" s="853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1" t="s">
        <v>16</v>
      </c>
      <c r="D243" s="847" t="s">
        <v>38</v>
      </c>
      <c r="E243" s="172"/>
      <c r="F243" s="172"/>
      <c r="G243" s="173"/>
      <c r="H243" s="761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47" t="s">
        <v>117</v>
      </c>
      <c r="E244" s="177"/>
      <c r="F244" s="177"/>
      <c r="G244" s="178"/>
      <c r="H244" s="763" t="s">
        <v>35</v>
      </c>
      <c r="I244" s="269">
        <f ca="1">IFERROR(__xludf.DUMMYFUNCTION("IMPORTRANGE(""https://docs.google.com/spreadsheets/d/1QqKyyYR6Q21VydFLVH3TRQUabQu_ym0Zz7PgGX0-kHA/edit?usp=sharing"",""แผน!BE85"")"),0)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852" t="s">
        <v>43</v>
      </c>
      <c r="E245" s="177"/>
      <c r="F245" s="177"/>
      <c r="G245" s="178"/>
      <c r="H245" s="763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175" t="s">
        <v>118</v>
      </c>
      <c r="F246" s="177"/>
      <c r="G246" s="178"/>
      <c r="H246" s="763" t="s">
        <v>35</v>
      </c>
      <c r="I246" s="269"/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763" t="s">
        <v>66</v>
      </c>
      <c r="I247" s="269"/>
      <c r="J247" s="214">
        <v>0</v>
      </c>
      <c r="K247" s="497">
        <f>IF(I247&gt;0,J247*100/I247,0)</f>
        <v>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54" t="s">
        <v>17</v>
      </c>
      <c r="E249" s="147"/>
      <c r="F249" s="147"/>
      <c r="G249" s="150"/>
      <c r="H249" s="274" t="s">
        <v>12</v>
      </c>
      <c r="I249" s="419"/>
      <c r="J249" s="419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IFERROR(__xludf.DUMMYFUNCTION("IMPORTRANGE(""https://docs.google.com/spreadsheets/d/1QqKyyYR6Q21VydFLVH3TRQUabQu_ym0Zz7PgGX0-kHA/edit?usp=sharing"",""แผน!AZ85"")"),0)</f>
        <v>0</v>
      </c>
      <c r="M250" s="321"/>
      <c r="N250" s="853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IFERROR(__xludf.DUMMYFUNCTION("IMPORTRANGE(""https://docs.google.com/spreadsheets/d/1QqKyyYR6Q21VydFLVH3TRQUabQu_ym0Zz7PgGX0-kHA/edit?usp=sharing"",""แผน!BA85"")"),0)</f>
        <v>0</v>
      </c>
      <c r="M251" s="321"/>
      <c r="N251" s="853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IFERROR(__xludf.DUMMYFUNCTION("IMPORTRANGE(""https://docs.google.com/spreadsheets/d/1QqKyyYR6Q21VydFLVH3TRQUabQu_ym0Zz7PgGX0-kHA/edit?usp=sharing"",""แผน!BB85"")"),0)</f>
        <v>0</v>
      </c>
      <c r="M252" s="321"/>
      <c r="N252" s="853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IFERROR(__xludf.DUMMYFUNCTION("IMPORTRANGE(""https://docs.google.com/spreadsheets/d/1QqKyyYR6Q21VydFLVH3TRQUabQu_ym0Zz7PgGX0-kHA/edit?usp=sharing"",""แผน!BC85"")"),0)</f>
        <v>0</v>
      </c>
      <c r="M253" s="321"/>
      <c r="N253" s="853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1" t="s">
        <v>16</v>
      </c>
      <c r="D254" s="847" t="s">
        <v>38</v>
      </c>
      <c r="E254" s="172"/>
      <c r="F254" s="172"/>
      <c r="G254" s="173"/>
      <c r="H254" s="761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7" t="s">
        <v>117</v>
      </c>
      <c r="E255" s="177"/>
      <c r="F255" s="177"/>
      <c r="G255" s="178"/>
      <c r="H255" s="763" t="s">
        <v>35</v>
      </c>
      <c r="I255" s="269">
        <f ca="1">IFERROR(__xludf.DUMMYFUNCTION("IMPORTRANGE(""https://docs.google.com/spreadsheets/d/1QqKyyYR6Q21VydFLVH3TRQUabQu_ym0Zz7PgGX0-kHA/edit?usp=sharing"",""แผน!BF85"")"),0)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52" t="s">
        <v>43</v>
      </c>
      <c r="E256" s="177"/>
      <c r="F256" s="177"/>
      <c r="G256" s="178"/>
      <c r="H256" s="763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63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63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18</v>
      </c>
      <c r="J260" s="252">
        <f>J271</f>
        <v>18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46" t="s">
        <v>17</v>
      </c>
      <c r="E261" s="147"/>
      <c r="F261" s="147"/>
      <c r="G261" s="150"/>
      <c r="H261" s="151" t="s">
        <v>12</v>
      </c>
      <c r="I261" s="420"/>
      <c r="J261" s="420"/>
      <c r="K261" s="153"/>
      <c r="L261" s="154">
        <f ca="1">L262+L263</f>
        <v>23100</v>
      </c>
      <c r="M261" s="154">
        <f ca="1">M262+M263</f>
        <v>23100</v>
      </c>
      <c r="N261" s="154">
        <f ca="1">N262+N263</f>
        <v>23100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6"/>
      <c r="J262" s="616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6"/>
      <c r="J263" s="616"/>
      <c r="K263" s="92"/>
      <c r="L263" s="92">
        <f t="shared" ca="1" si="46"/>
        <v>23100</v>
      </c>
      <c r="M263" s="92">
        <f t="shared" ca="1" si="46"/>
        <v>23100</v>
      </c>
      <c r="N263" s="92">
        <f t="shared" ca="1" si="46"/>
        <v>23100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23100</v>
      </c>
      <c r="M264" s="497">
        <f ca="1">M265+M266</f>
        <v>23100</v>
      </c>
      <c r="N264" s="497">
        <f ca="1">N265+N266</f>
        <v>23100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IFERROR(__xludf.DUMMYFUNCTION("IMPORTRANGE(""https://docs.google.com/spreadsheets/d/1MeEWN-I1oV_STSDYn1IFDPWt_1FKiwhDph83XaGc0o0/edit?usp=sharing"",""งบพรบ!CY85"")"),23100)</f>
        <v>23100</v>
      </c>
      <c r="M266" s="92">
        <f ca="1">IFERROR(__xludf.DUMMYFUNCTION("IMPORTRANGE(""https://docs.google.com/spreadsheets/d/1MeEWN-I1oV_STSDYn1IFDPWt_1FKiwhDph83XaGc0o0/edit?usp=sharing"",""งบพรบ!DD85"")"),23100)</f>
        <v>23100</v>
      </c>
      <c r="N266" s="92">
        <f ca="1">IFERROR(__xludf.DUMMYFUNCTION("IMPORTRANGE(""https://docs.google.com/spreadsheets/d/1MeEWN-I1oV_STSDYn1IFDPWt_1FKiwhDph83XaGc0o0/edit?usp=sharing"",""งบพรบ!DF85"")"),23100)</f>
        <v>23100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IFERROR(__xludf.DUMMYFUNCTION("IMPORTRANGE(""https://docs.google.com/spreadsheets/d/1MeEWN-I1oV_STSDYn1IFDPWt_1FKiwhDph83XaGc0o0/edit?usp=sharing"",""งบพรบ!DB85"")"),0)</f>
        <v>0</v>
      </c>
      <c r="M269" s="92">
        <f ca="1">IFERROR(__xludf.DUMMYFUNCTION("IMPORTRANGE(""https://docs.google.com/spreadsheets/d/1MeEWN-I1oV_STSDYn1IFDPWt_1FKiwhDph83XaGc0o0/edit?usp=sharing"",""งบพรบ!DE85"")"),0)</f>
        <v>0</v>
      </c>
      <c r="N269" s="92">
        <f ca="1">IFERROR(__xludf.DUMMYFUNCTION("IMPORTRANGE(""https://docs.google.com/spreadsheets/d/1MeEWN-I1oV_STSDYn1IFDPWt_1FKiwhDph83XaGc0o0/edit?usp=sharing"",""งบพรบ!DG85"")"),0)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47" t="s">
        <v>38</v>
      </c>
      <c r="E270" s="172"/>
      <c r="F270" s="172"/>
      <c r="G270" s="173"/>
      <c r="H270" s="761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IFERROR(__xludf.DUMMYFUNCTION("IMPORTRANGE(""https://docs.google.com/spreadsheets/d/1QqKyyYR6Q21VydFLVH3TRQUabQu_ym0Zz7PgGX0-kHA/edit?usp=sharing"",""แผน!EA85"")"),18)</f>
        <v>18</v>
      </c>
      <c r="J271" s="214">
        <v>18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5">
        <v>0</v>
      </c>
      <c r="J272" s="505">
        <v>0</v>
      </c>
      <c r="K272" s="384">
        <v>0</v>
      </c>
      <c r="L272" s="384"/>
      <c r="M272" s="384"/>
      <c r="N272" s="384"/>
      <c r="O272" s="384"/>
      <c r="P272" s="384"/>
    </row>
    <row r="273" spans="1:26" ht="19.5" hidden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9">
        <f ca="1">I287</f>
        <v>0</v>
      </c>
      <c r="J276" s="409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46" t="s">
        <v>17</v>
      </c>
      <c r="E277" s="147"/>
      <c r="F277" s="147"/>
      <c r="G277" s="150"/>
      <c r="H277" s="151" t="s">
        <v>12</v>
      </c>
      <c r="I277" s="420"/>
      <c r="J277" s="420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6"/>
      <c r="J278" s="616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6"/>
      <c r="J279" s="616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IFERROR(__xludf.DUMMYFUNCTION("IMPORTRANGE(""https://docs.google.com/spreadsheets/d/1MeEWN-I1oV_STSDYn1IFDPWt_1FKiwhDph83XaGc0o0/edit?usp=sharing"",""งบพรบ!DI85"")"),0)</f>
        <v>0</v>
      </c>
      <c r="M282" s="92">
        <f ca="1">IFERROR(__xludf.DUMMYFUNCTION("IMPORTRANGE(""https://docs.google.com/spreadsheets/d/1MeEWN-I1oV_STSDYn1IFDPWt_1FKiwhDph83XaGc0o0/edit?usp=sharing"",""งบพรบ!DN85"")"),0)</f>
        <v>0</v>
      </c>
      <c r="N282" s="92">
        <f ca="1">IFERROR(__xludf.DUMMYFUNCTION("IMPORTRANGE(""https://docs.google.com/spreadsheets/d/1MeEWN-I1oV_STSDYn1IFDPWt_1FKiwhDph83XaGc0o0/edit?usp=sharing"",""งบพรบ!DP85"")"),0)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IFERROR(__xludf.DUMMYFUNCTION("IMPORTRANGE(""https://docs.google.com/spreadsheets/d/1MeEWN-I1oV_STSDYn1IFDPWt_1FKiwhDph83XaGc0o0/edit?usp=sharing"",""งบพรบ!DL85"")"),0)</f>
        <v>0</v>
      </c>
      <c r="M285" s="92">
        <f ca="1">IFERROR(__xludf.DUMMYFUNCTION("IMPORTRANGE(""https://docs.google.com/spreadsheets/d/1MeEWN-I1oV_STSDYn1IFDPWt_1FKiwhDph83XaGc0o0/edit?usp=sharing"",""งบพรบ!DO85"")"),0)</f>
        <v>0</v>
      </c>
      <c r="N285" s="92">
        <f ca="1">IFERROR(__xludf.DUMMYFUNCTION("IMPORTRANGE(""https://docs.google.com/spreadsheets/d/1MeEWN-I1oV_STSDYn1IFDPWt_1FKiwhDph83XaGc0o0/edit?usp=sharing"",""งบพรบ!DQ85"")"),0)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47" t="s">
        <v>38</v>
      </c>
      <c r="E286" s="172"/>
      <c r="F286" s="172"/>
      <c r="G286" s="173"/>
      <c r="H286" s="761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5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IFERROR(__xludf.DUMMYFUNCTION("IMPORTRANGE(""https://docs.google.com/spreadsheets/d/1QqKyyYR6Q21VydFLVH3TRQUabQu_ym0Zz7PgGX0-kHA/edit?usp=sharing"",""แผน!EC85"")"),0)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5" t="s">
        <v>130</v>
      </c>
      <c r="E288" s="170"/>
      <c r="F288" s="177"/>
      <c r="G288" s="178"/>
      <c r="H288" s="179" t="s">
        <v>35</v>
      </c>
      <c r="I288" s="680">
        <f ca="1">IFERROR(__xludf.DUMMYFUNCTION("IMPORTRANGE(""https://docs.google.com/spreadsheets/d/1QqKyyYR6Q21VydFLVH3TRQUabQu_ym0Zz7PgGX0-kHA/edit?usp=sharing"",""แผน!EB85"")"),0)</f>
        <v>0</v>
      </c>
      <c r="J288" s="680">
        <f ca="1">IF(AND(J291&gt;=I288,J294&gt;=I288),J294,0)</f>
        <v>0</v>
      </c>
      <c r="K288" s="411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2"/>
      <c r="E289" s="413" t="s">
        <v>131</v>
      </c>
      <c r="F289" s="177"/>
      <c r="G289" s="178"/>
      <c r="H289" s="763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2"/>
      <c r="E290" s="625" t="s">
        <v>132</v>
      </c>
      <c r="F290" s="177"/>
      <c r="G290" s="178"/>
      <c r="H290" s="763" t="s">
        <v>35</v>
      </c>
      <c r="I290" s="183">
        <f ca="1">IFERROR(__xludf.DUMMYFUNCTION("IMPORTRANGE(""https://docs.google.com/spreadsheets/d/1QqKyyYR6Q21VydFLVH3TRQUabQu_ym0Zz7PgGX0-kHA/edit?usp=sharing"",""แผน!EB85"")"),0)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5" t="s">
        <v>336</v>
      </c>
      <c r="F291" s="177"/>
      <c r="G291" s="178"/>
      <c r="H291" s="763" t="s">
        <v>35</v>
      </c>
      <c r="I291" s="183">
        <f ca="1">IFERROR(__xludf.DUMMYFUNCTION("IMPORTRANGE(""https://docs.google.com/spreadsheets/d/1QqKyyYR6Q21VydFLVH3TRQUabQu_ym0Zz7PgGX0-kHA/edit?usp=sharing"",""แผน!EB85"")"),0)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4"/>
      <c r="B292" s="415"/>
      <c r="C292" s="415"/>
      <c r="D292" s="416"/>
      <c r="E292" s="417" t="s">
        <v>134</v>
      </c>
      <c r="F292" s="286"/>
      <c r="G292" s="287"/>
      <c r="H292" s="418"/>
      <c r="I292" s="419"/>
      <c r="J292" s="420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2"/>
      <c r="E293" s="625" t="s">
        <v>132</v>
      </c>
      <c r="F293" s="177"/>
      <c r="G293" s="178"/>
      <c r="H293" s="763" t="s">
        <v>35</v>
      </c>
      <c r="I293" s="183">
        <f ca="1">IFERROR(__xludf.DUMMYFUNCTION("IMPORTRANGE(""https://docs.google.com/spreadsheets/d/1QqKyyYR6Q21VydFLVH3TRQUabQu_ym0Zz7PgGX0-kHA/edit?usp=sharing"",""แผน!EB85"")"),0)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33" t="s">
        <v>336</v>
      </c>
      <c r="F294" s="380"/>
      <c r="G294" s="381"/>
      <c r="H294" s="422" t="s">
        <v>35</v>
      </c>
      <c r="I294" s="423">
        <f ca="1">IFERROR(__xludf.DUMMYFUNCTION("IMPORTRANGE(""https://docs.google.com/spreadsheets/d/1QqKyyYR6Q21VydFLVH3TRQUabQu_ym0Zz7PgGX0-kHA/edit?usp=sharing"",""แผน!EB85"")"),0)</f>
        <v>0</v>
      </c>
      <c r="J294" s="424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0</v>
      </c>
      <c r="J297" s="444">
        <f>J309</f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6"/>
      <c r="B298" s="147"/>
      <c r="C298" s="148" t="s">
        <v>16</v>
      </c>
      <c r="D298" s="846" t="s">
        <v>17</v>
      </c>
      <c r="E298" s="147"/>
      <c r="F298" s="147"/>
      <c r="G298" s="150"/>
      <c r="H298" s="151" t="s">
        <v>12</v>
      </c>
      <c r="I298" s="420"/>
      <c r="J298" s="420"/>
      <c r="K298" s="153"/>
      <c r="L298" s="154">
        <f ca="1">L299+L300</f>
        <v>0</v>
      </c>
      <c r="M298" s="154">
        <f ca="1">M299+M300</f>
        <v>0</v>
      </c>
      <c r="N298" s="154">
        <f ca="1">N299+N300</f>
        <v>0</v>
      </c>
      <c r="O298" s="154">
        <f t="shared" ref="O298:O306" ca="1" si="50">IF(L298&gt;0,N298*100/L298,0)</f>
        <v>0</v>
      </c>
      <c r="P298" s="154">
        <f t="shared" ref="P298:P306" ca="1" si="51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6"/>
      <c r="J299" s="616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6"/>
      <c r="J300" s="616"/>
      <c r="K300" s="92"/>
      <c r="L300" s="92">
        <f t="shared" ca="1" si="52"/>
        <v>0</v>
      </c>
      <c r="M300" s="92">
        <f t="shared" ca="1" si="52"/>
        <v>0</v>
      </c>
      <c r="N300" s="92">
        <f t="shared" ca="1" si="52"/>
        <v>0</v>
      </c>
      <c r="O300" s="92">
        <f t="shared" ca="1" si="50"/>
        <v>0</v>
      </c>
      <c r="P300" s="92">
        <f t="shared" ca="1" si="51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0</v>
      </c>
      <c r="M301" s="497">
        <f ca="1">M302+M303</f>
        <v>0</v>
      </c>
      <c r="N301" s="497">
        <f ca="1">N302+N303</f>
        <v>0</v>
      </c>
      <c r="O301" s="497">
        <f t="shared" ca="1" si="50"/>
        <v>0</v>
      </c>
      <c r="P301" s="497">
        <f t="shared" ca="1" si="51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IFERROR(__xludf.DUMMYFUNCTION("IMPORTRANGE(""https://docs.google.com/spreadsheets/d/1MeEWN-I1oV_STSDYn1IFDPWt_1FKiwhDph83XaGc0o0/edit?usp=sharing"",""งบพรบ!DS85"")"),0)</f>
        <v>0</v>
      </c>
      <c r="M303" s="92">
        <f ca="1">IFERROR(__xludf.DUMMYFUNCTION("IMPORTRANGE(""https://docs.google.com/spreadsheets/d/1MeEWN-I1oV_STSDYn1IFDPWt_1FKiwhDph83XaGc0o0/edit?usp=sharing"",""งบพรบ!DX85"")"),0)</f>
        <v>0</v>
      </c>
      <c r="N303" s="92">
        <f ca="1">IFERROR(__xludf.DUMMYFUNCTION("IMPORTRANGE(""https://docs.google.com/spreadsheets/d/1MeEWN-I1oV_STSDYn1IFDPWt_1FKiwhDph83XaGc0o0/edit?usp=sharing"",""งบพรบ!DZ85"")"),0)</f>
        <v>0</v>
      </c>
      <c r="O303" s="92">
        <f t="shared" ca="1" si="50"/>
        <v>0</v>
      </c>
      <c r="P303" s="92">
        <f t="shared" ca="1" si="51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IFERROR(__xludf.DUMMYFUNCTION("IMPORTRANGE(""https://docs.google.com/spreadsheets/d/1MeEWN-I1oV_STSDYn1IFDPWt_1FKiwhDph83XaGc0o0/edit?usp=sharing"",""งบพรบ!DV85"")"),0)</f>
        <v>0</v>
      </c>
      <c r="M306" s="92">
        <f ca="1">IFERROR(__xludf.DUMMYFUNCTION("IMPORTRANGE(""https://docs.google.com/spreadsheets/d/1MeEWN-I1oV_STSDYn1IFDPWt_1FKiwhDph83XaGc0o0/edit?usp=sharing"",""งบพรบ!DY85"")"),0)</f>
        <v>0</v>
      </c>
      <c r="N306" s="92">
        <f ca="1">IFERROR(__xludf.DUMMYFUNCTION("IMPORTRANGE(""https://docs.google.com/spreadsheets/d/1MeEWN-I1oV_STSDYn1IFDPWt_1FKiwhDph83XaGc0o0/edit?usp=sharing"",""งบพรบ!EA85"")"),0)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47" t="s">
        <v>38</v>
      </c>
      <c r="E307" s="172"/>
      <c r="F307" s="172"/>
      <c r="G307" s="173"/>
      <c r="H307" s="761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69"/>
      <c r="B308" s="170"/>
      <c r="C308" s="170"/>
      <c r="D308" s="447" t="s">
        <v>140</v>
      </c>
      <c r="E308" s="447"/>
      <c r="F308" s="447"/>
      <c r="G308" s="178"/>
      <c r="H308" s="763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69"/>
      <c r="B309" s="170"/>
      <c r="C309" s="170"/>
      <c r="D309" s="447" t="s">
        <v>141</v>
      </c>
      <c r="E309" s="447"/>
      <c r="F309" s="447"/>
      <c r="G309" s="178"/>
      <c r="H309" s="763" t="s">
        <v>35</v>
      </c>
      <c r="I309" s="269">
        <f ca="1">IFERROR(__xludf.DUMMYFUNCTION("IMPORTRANGE(""https://docs.google.com/spreadsheets/d/1QqKyyYR6Q21VydFLVH3TRQUabQu_ym0Zz7PgGX0-kHA/edit?usp=sharing"",""แผน!ED85"")"),0)</f>
        <v>0</v>
      </c>
      <c r="J309" s="214">
        <v>0</v>
      </c>
      <c r="K309" s="497">
        <f ca="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69"/>
      <c r="B310" s="170"/>
      <c r="C310" s="170"/>
      <c r="D310" s="447" t="s">
        <v>142</v>
      </c>
      <c r="E310" s="447"/>
      <c r="F310" s="447"/>
      <c r="G310" s="178"/>
      <c r="H310" s="763" t="s">
        <v>35</v>
      </c>
      <c r="I310" s="269">
        <f ca="1">IFERROR(__xludf.DUMMYFUNCTION("IMPORTRANGE(""https://docs.google.com/spreadsheets/d/1QqKyyYR6Q21VydFLVH3TRQUabQu_ym0Zz7PgGX0-kHA/edit?usp=sharing"",""แผน!ED85"")"),0)</f>
        <v>0</v>
      </c>
      <c r="J310" s="214">
        <v>0</v>
      </c>
      <c r="K310" s="497">
        <f ca="1">IF(I310&gt;0,J310*100/I310,0)</f>
        <v>0</v>
      </c>
      <c r="L310" s="497"/>
      <c r="M310" s="497"/>
      <c r="N310" s="497"/>
      <c r="O310" s="497"/>
      <c r="P310" s="497"/>
    </row>
    <row r="311" spans="1:26" ht="18.75" hidden="1">
      <c r="A311" s="169"/>
      <c r="B311" s="170"/>
      <c r="C311" s="170"/>
      <c r="D311" s="447" t="s">
        <v>59</v>
      </c>
      <c r="E311" s="447"/>
      <c r="F311" s="447"/>
      <c r="G311" s="178"/>
      <c r="H311" s="763" t="s">
        <v>35</v>
      </c>
      <c r="I311" s="269">
        <f ca="1">IFERROR(__xludf.DUMMYFUNCTION("IMPORTRANGE(""https://docs.google.com/spreadsheets/d/1QqKyyYR6Q21VydFLVH3TRQUabQu_ym0Zz7PgGX0-kHA/edit?usp=sharing"",""แผน!ED85"")"),0)</f>
        <v>0</v>
      </c>
      <c r="J311" s="214">
        <v>0</v>
      </c>
      <c r="K311" s="497">
        <f ca="1">IF(I311&gt;0,J311*100/I311,0)</f>
        <v>0</v>
      </c>
      <c r="L311" s="497"/>
      <c r="M311" s="497"/>
      <c r="N311" s="497"/>
      <c r="O311" s="497"/>
      <c r="P311" s="497"/>
    </row>
    <row r="312" spans="1:26" ht="18.75" hidden="1">
      <c r="A312" s="169"/>
      <c r="B312" s="170"/>
      <c r="C312" s="170"/>
      <c r="D312" s="447" t="s">
        <v>143</v>
      </c>
      <c r="E312" s="447"/>
      <c r="F312" s="447"/>
      <c r="G312" s="178"/>
      <c r="H312" s="763" t="s">
        <v>35</v>
      </c>
      <c r="I312" s="269">
        <f ca="1">IFERROR(__xludf.DUMMYFUNCTION("IMPORTRANGE(""https://docs.google.com/spreadsheets/d/1QqKyyYR6Q21VydFLVH3TRQUabQu_ym0Zz7PgGX0-kHA/edit?usp=sharing"",""แผน!EE85"")"),0)</f>
        <v>0</v>
      </c>
      <c r="J312" s="214">
        <v>0</v>
      </c>
      <c r="K312" s="497">
        <f ca="1">IF(I312&gt;0,J312*100/I312,0)</f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0</v>
      </c>
      <c r="J314" s="444">
        <f>J325</f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6"/>
      <c r="B315" s="147"/>
      <c r="C315" s="148" t="s">
        <v>16</v>
      </c>
      <c r="D315" s="846" t="s">
        <v>17</v>
      </c>
      <c r="E315" s="147"/>
      <c r="F315" s="147"/>
      <c r="G315" s="150"/>
      <c r="H315" s="151" t="s">
        <v>12</v>
      </c>
      <c r="I315" s="420"/>
      <c r="J315" s="420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6"/>
      <c r="J316" s="616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6"/>
      <c r="J317" s="616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IFERROR(__xludf.DUMMYFUNCTION("IMPORTRANGE(""https://docs.google.com/spreadsheets/d/1MeEWN-I1oV_STSDYn1IFDPWt_1FKiwhDph83XaGc0o0/edit?usp=sharing"",""งบพรบ!EC85"")"),0)</f>
        <v>0</v>
      </c>
      <c r="M320" s="92">
        <f ca="1">IFERROR(__xludf.DUMMYFUNCTION("IMPORTRANGE(""https://docs.google.com/spreadsheets/d/1MeEWN-I1oV_STSDYn1IFDPWt_1FKiwhDph83XaGc0o0/edit?usp=sharing"",""งบพรบ!EH85"")"),0)</f>
        <v>0</v>
      </c>
      <c r="N320" s="92">
        <f ca="1">IFERROR(__xludf.DUMMYFUNCTION("IMPORTRANGE(""https://docs.google.com/spreadsheets/d/1MeEWN-I1oV_STSDYn1IFDPWt_1FKiwhDph83XaGc0o0/edit?usp=sharing"",""งบพรบ!EJ85"")"),0)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IFERROR(__xludf.DUMMYFUNCTION("IMPORTRANGE(""https://docs.google.com/spreadsheets/d/1MeEWN-I1oV_STSDYn1IFDPWt_1FKiwhDph83XaGc0o0/edit?usp=sharing"",""งบพรบ!EF85"")"),0)</f>
        <v>0</v>
      </c>
      <c r="M323" s="92">
        <f ca="1">IFERROR(__xludf.DUMMYFUNCTION("IMPORTRANGE(""https://docs.google.com/spreadsheets/d/1MeEWN-I1oV_STSDYn1IFDPWt_1FKiwhDph83XaGc0o0/edit?usp=sharing"",""งบพรบ!EI85"")"),0)</f>
        <v>0</v>
      </c>
      <c r="N323" s="92">
        <f ca="1">IFERROR(__xludf.DUMMYFUNCTION("IMPORTRANGE(""https://docs.google.com/spreadsheets/d/1MeEWN-I1oV_STSDYn1IFDPWt_1FKiwhDph83XaGc0o0/edit?usp=sharing"",""งบพรบ!EK85"")"),0)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47" t="s">
        <v>38</v>
      </c>
      <c r="E324" s="172"/>
      <c r="F324" s="172"/>
      <c r="G324" s="173"/>
      <c r="H324" s="761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7"/>
      <c r="G325" s="178"/>
      <c r="H325" s="622" t="s">
        <v>146</v>
      </c>
      <c r="I325" s="269">
        <f ca="1">IFERROR(__xludf.DUMMYFUNCTION("IMPORTRANGE(""https://docs.google.com/spreadsheets/d/1QqKyyYR6Q21VydFLVH3TRQUabQu_ym0Zz7PgGX0-kHA/edit?usp=sharing"",""แผน!EF85"")"),0)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IFERROR(__xludf.DUMMYFUNCTION("IMPORTRANGE(""https://docs.google.com/spreadsheets/d/1QqKyyYR6Q21VydFLVH3TRQUabQu_ym0Zz7PgGX0-kHA/edit?usp=sharing"",""แผน!EG85"")"),500)</f>
        <v>500</v>
      </c>
      <c r="J327" s="444">
        <f ca="1">J338+J341+J342+J343</f>
        <v>852</v>
      </c>
      <c r="K327" s="445">
        <f ca="1">IF(I327&gt;0,J327*100/I327,0)</f>
        <v>170.4</v>
      </c>
      <c r="L327" s="446"/>
      <c r="M327" s="446"/>
      <c r="N327" s="446"/>
      <c r="O327" s="446"/>
      <c r="P327" s="446"/>
    </row>
    <row r="328" spans="1:26" ht="19.5">
      <c r="A328" s="146"/>
      <c r="B328" s="147"/>
      <c r="C328" s="148" t="s">
        <v>16</v>
      </c>
      <c r="D328" s="846" t="s">
        <v>17</v>
      </c>
      <c r="E328" s="147"/>
      <c r="F328" s="147"/>
      <c r="G328" s="150"/>
      <c r="H328" s="151" t="s">
        <v>12</v>
      </c>
      <c r="I328" s="420"/>
      <c r="J328" s="420"/>
      <c r="K328" s="153"/>
      <c r="L328" s="154">
        <f ca="1">L329+L330</f>
        <v>159000</v>
      </c>
      <c r="M328" s="154">
        <f ca="1">M329+M330</f>
        <v>170500</v>
      </c>
      <c r="N328" s="154">
        <f ca="1">N329+N330</f>
        <v>170500</v>
      </c>
      <c r="O328" s="154">
        <f t="shared" ref="O328:O336" ca="1" si="56">IF(L328&gt;0,N328*100/L328,0)</f>
        <v>107.23270440251572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6"/>
      <c r="J329" s="616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6"/>
      <c r="J330" s="616"/>
      <c r="K330" s="92"/>
      <c r="L330" s="92">
        <f t="shared" ca="1" si="58"/>
        <v>159000</v>
      </c>
      <c r="M330" s="92">
        <f t="shared" ca="1" si="58"/>
        <v>170500</v>
      </c>
      <c r="N330" s="92">
        <f t="shared" ca="1" si="58"/>
        <v>170500</v>
      </c>
      <c r="O330" s="92">
        <f t="shared" ca="1" si="56"/>
        <v>107.23270440251572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159000</v>
      </c>
      <c r="M331" s="497">
        <f ca="1">M332+M333</f>
        <v>161500</v>
      </c>
      <c r="N331" s="497">
        <f ca="1">N332+N333</f>
        <v>161500</v>
      </c>
      <c r="O331" s="497">
        <f t="shared" ca="1" si="56"/>
        <v>101.57232704402516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IFERROR(__xludf.DUMMYFUNCTION("IMPORTRANGE(""https://docs.google.com/spreadsheets/d/1MeEWN-I1oV_STSDYn1IFDPWt_1FKiwhDph83XaGc0o0/edit?usp=sharing"",""งบพรบ!EM85"")"),159000)</f>
        <v>159000</v>
      </c>
      <c r="M333" s="92">
        <f ca="1">IFERROR(__xludf.DUMMYFUNCTION("IMPORTRANGE(""https://docs.google.com/spreadsheets/d/1MeEWN-I1oV_STSDYn1IFDPWt_1FKiwhDph83XaGc0o0/edit?usp=sharing"",""งบพรบ!ER85"")"),161500)</f>
        <v>161500</v>
      </c>
      <c r="N333" s="92">
        <f ca="1">IFERROR(__xludf.DUMMYFUNCTION("IMPORTRANGE(""https://docs.google.com/spreadsheets/d/1MeEWN-I1oV_STSDYn1IFDPWt_1FKiwhDph83XaGc0o0/edit?usp=sharing"",""งบพรบ!ET85"")"),161500)</f>
        <v>161500</v>
      </c>
      <c r="O333" s="92">
        <f t="shared" ca="1" si="56"/>
        <v>101.57232704402516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9000</v>
      </c>
      <c r="N334" s="497">
        <f ca="1">N335+N336</f>
        <v>9000</v>
      </c>
      <c r="O334" s="497">
        <f t="shared" ca="1" si="56"/>
        <v>0</v>
      </c>
      <c r="P334" s="497">
        <f t="shared" ca="1" si="57"/>
        <v>100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IFERROR(__xludf.DUMMYFUNCTION("IMPORTRANGE(""https://docs.google.com/spreadsheets/d/1MeEWN-I1oV_STSDYn1IFDPWt_1FKiwhDph83XaGc0o0/edit?usp=sharing"",""งบพรบ!EP85"")"),0)</f>
        <v>0</v>
      </c>
      <c r="M336" s="92">
        <f ca="1">IFERROR(__xludf.DUMMYFUNCTION("IMPORTRANGE(""https://docs.google.com/spreadsheets/d/1MeEWN-I1oV_STSDYn1IFDPWt_1FKiwhDph83XaGc0o0/edit?usp=sharing"",""งบพรบ!ES85"")"),9000)</f>
        <v>9000</v>
      </c>
      <c r="N336" s="92">
        <f ca="1">IFERROR(__xludf.DUMMYFUNCTION("IMPORTRANGE(""https://docs.google.com/spreadsheets/d/1MeEWN-I1oV_STSDYn1IFDPWt_1FKiwhDph83XaGc0o0/edit?usp=sharing"",""งบพรบ!EU85"")"),9000)</f>
        <v>9000</v>
      </c>
      <c r="O336" s="92">
        <f t="shared" ca="1" si="56"/>
        <v>0</v>
      </c>
      <c r="P336" s="92">
        <f t="shared" ca="1" si="57"/>
        <v>100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4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61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3"/>
      <c r="B338" s="32"/>
      <c r="C338" s="280"/>
      <c r="D338" s="447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IFERROR(__xludf.DUMMYFUNCTION("IMPORTRANGE(""https://docs.google.com/spreadsheets/d/1QqKyyYR6Q21VydFLVH3TRQUabQu_ym0Zz7PgGX0-kHA/edit?usp=sharing"",""แผน!EG85"")"),500)</f>
        <v>500</v>
      </c>
      <c r="J338" s="269">
        <f ca="1">IFERROR(__xludf.DUMMYFUNCTION("IMPORTRANGE(""https://docs.google.com/spreadsheets/d/1kVcqe37tkHyjCSG3S0O1AXqVkqjo8mSIZil3BcpIysc/edit?usp=sharing"",""ศูนย์!D85"")"),771)</f>
        <v>771</v>
      </c>
      <c r="K338" s="497">
        <f ca="1">IF(I338&gt;0,J338*100/I338,0)</f>
        <v>154.19999999999999</v>
      </c>
      <c r="L338" s="497"/>
      <c r="M338" s="497"/>
      <c r="N338" s="497"/>
      <c r="O338" s="497"/>
      <c r="P338" s="497"/>
    </row>
    <row r="339" spans="1:26" ht="18.75">
      <c r="A339" s="283"/>
      <c r="B339" s="32"/>
      <c r="C339" s="280"/>
      <c r="D339" s="447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3"/>
      <c r="B340" s="32"/>
      <c r="C340" s="280"/>
      <c r="D340" s="177"/>
      <c r="E340" s="447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IFERROR(__xludf.DUMMYFUNCTION("IMPORTRANGE(""https://docs.google.com/spreadsheets/d/1QqKyyYR6Q21VydFLVH3TRQUabQu_ym0Zz7PgGX0-kHA/edit?usp=sharing"",""แผน!EH85"")"),3)</f>
        <v>3</v>
      </c>
      <c r="J340" s="269">
        <f ca="1">IFERROR(__xludf.DUMMYFUNCTION("IMPORTRANGE(""https://docs.google.com/spreadsheets/d/1kVcqe37tkHyjCSG3S0O1AXqVkqjo8mSIZil3BcpIysc/edit?usp=sharing"",""ศูนย์!E85"")"),3)</f>
        <v>3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3"/>
      <c r="B341" s="32"/>
      <c r="C341" s="280"/>
      <c r="D341" s="177"/>
      <c r="E341" s="447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IFERROR(__xludf.DUMMYFUNCTION("IMPORTRANGE(""https://docs.google.com/spreadsheets/d/1kVcqe37tkHyjCSG3S0O1AXqVkqjo8mSIZil3BcpIysc/edit?usp=sharing"",""ศูนย์!F85"")"),73)</f>
        <v>73</v>
      </c>
      <c r="K341" s="497"/>
      <c r="L341" s="497"/>
      <c r="M341" s="497"/>
      <c r="N341" s="497"/>
      <c r="O341" s="497"/>
      <c r="P341" s="497"/>
    </row>
    <row r="342" spans="1:26" ht="18.75">
      <c r="A342" s="283"/>
      <c r="B342" s="32"/>
      <c r="C342" s="280"/>
      <c r="D342" s="447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IFERROR(__xludf.DUMMYFUNCTION("IMPORTRANGE(""https://docs.google.com/spreadsheets/d/1kVcqe37tkHyjCSG3S0O1AXqVkqjo8mSIZil3BcpIysc/edit?usp=sharing"",""ศูนย์!G85"")"),8)</f>
        <v>8</v>
      </c>
      <c r="K342" s="497"/>
      <c r="L342" s="497"/>
      <c r="M342" s="497"/>
      <c r="N342" s="497"/>
      <c r="O342" s="497"/>
      <c r="P342" s="497"/>
    </row>
    <row r="343" spans="1:26" ht="18.75">
      <c r="A343" s="283"/>
      <c r="B343" s="32"/>
      <c r="C343" s="280"/>
      <c r="D343" s="447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IFERROR(__xludf.DUMMYFUNCTION("IMPORTRANGE(""https://docs.google.com/spreadsheets/d/1kVcqe37tkHyjCSG3S0O1AXqVkqjo8mSIZil3BcpIysc/edit?usp=sharing"",""ศูนย์!H85"")"),0)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6"/>
      <c r="B345" s="147"/>
      <c r="C345" s="148" t="s">
        <v>16</v>
      </c>
      <c r="D345" s="846" t="s">
        <v>17</v>
      </c>
      <c r="E345" s="147"/>
      <c r="F345" s="147"/>
      <c r="G345" s="150"/>
      <c r="H345" s="151" t="s">
        <v>12</v>
      </c>
      <c r="I345" s="420"/>
      <c r="J345" s="420"/>
      <c r="K345" s="153"/>
      <c r="L345" s="154">
        <f ca="1">L346+L347</f>
        <v>619700</v>
      </c>
      <c r="M345" s="154">
        <f ca="1">M346+M347</f>
        <v>649700</v>
      </c>
      <c r="N345" s="154">
        <f ca="1">N346+N347</f>
        <v>649700</v>
      </c>
      <c r="O345" s="154">
        <f t="shared" ref="O345:O353" ca="1" si="59">IF(L345&gt;0,N345*100/L345,0)</f>
        <v>104.84105212199451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6"/>
      <c r="J346" s="616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6"/>
      <c r="J347" s="616"/>
      <c r="K347" s="92"/>
      <c r="L347" s="92">
        <f t="shared" ca="1" si="61"/>
        <v>619700</v>
      </c>
      <c r="M347" s="92">
        <f t="shared" ca="1" si="61"/>
        <v>649700</v>
      </c>
      <c r="N347" s="92">
        <f t="shared" ca="1" si="61"/>
        <v>649700</v>
      </c>
      <c r="O347" s="92">
        <f t="shared" ca="1" si="59"/>
        <v>104.84105212199451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573700</v>
      </c>
      <c r="M348" s="497">
        <f ca="1">M349+M350</f>
        <v>603700</v>
      </c>
      <c r="N348" s="497">
        <f ca="1">N349+N350</f>
        <v>603700</v>
      </c>
      <c r="O348" s="497">
        <f t="shared" ca="1" si="59"/>
        <v>105.22921387484749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IFERROR(__xludf.DUMMYFUNCTION("IMPORTRANGE(""https://docs.google.com/spreadsheets/d/1MeEWN-I1oV_STSDYn1IFDPWt_1FKiwhDph83XaGc0o0/edit?usp=sharing"",""งบพรบ!EW85"")"),573700)</f>
        <v>573700</v>
      </c>
      <c r="M350" s="92">
        <f ca="1">IFERROR(__xludf.DUMMYFUNCTION("IMPORTRANGE(""https://docs.google.com/spreadsheets/d/1MeEWN-I1oV_STSDYn1IFDPWt_1FKiwhDph83XaGc0o0/edit?usp=sharing"",""งบพรบ!FB85"")"),603700)</f>
        <v>603700</v>
      </c>
      <c r="N350" s="92">
        <f ca="1">IFERROR(__xludf.DUMMYFUNCTION("IMPORTRANGE(""https://docs.google.com/spreadsheets/d/1MeEWN-I1oV_STSDYn1IFDPWt_1FKiwhDph83XaGc0o0/edit?usp=sharing"",""งบพรบ!FD85"")"),603700)</f>
        <v>603700</v>
      </c>
      <c r="O350" s="92">
        <f t="shared" ca="1" si="59"/>
        <v>105.22921387484749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46000</v>
      </c>
      <c r="M351" s="497">
        <f ca="1">M352+M353</f>
        <v>46000</v>
      </c>
      <c r="N351" s="497">
        <f ca="1">N352+N353</f>
        <v>46000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IFERROR(__xludf.DUMMYFUNCTION("IMPORTRANGE(""https://docs.google.com/spreadsheets/d/1MeEWN-I1oV_STSDYn1IFDPWt_1FKiwhDph83XaGc0o0/edit?usp=sharing"",""งบพรบ!EZ85"")"),46000)</f>
        <v>46000</v>
      </c>
      <c r="M353" s="92">
        <f ca="1">IFERROR(__xludf.DUMMYFUNCTION("IMPORTRANGE(""https://docs.google.com/spreadsheets/d/1MeEWN-I1oV_STSDYn1IFDPWt_1FKiwhDph83XaGc0o0/edit?usp=sharing"",""งบพรบ!FC85"")"),46000)</f>
        <v>46000</v>
      </c>
      <c r="N353" s="92">
        <f ca="1">IFERROR(__xludf.DUMMYFUNCTION("IMPORTRANGE(""https://docs.google.com/spreadsheets/d/1MeEWN-I1oV_STSDYn1IFDPWt_1FKiwhDph83XaGc0o0/edit?usp=sharing"",""งบพรบ!FE85"")"),46000)</f>
        <v>46000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1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IFERROR(__xludf.DUMMYFUNCTION("IMPORTRANGE(""https://docs.google.com/spreadsheets/d/1QqKyyYR6Q21VydFLVH3TRQUabQu_ym0Zz7PgGX0-kHA/edit?usp=sharing"",""แผน!EP85"")"),60)</f>
        <v>60</v>
      </c>
      <c r="J355" s="464">
        <f ca="1">J362</f>
        <v>60</v>
      </c>
      <c r="K355" s="465">
        <f ca="1">IF(I355&gt;0,J355*100/I355,0)</f>
        <v>100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47" t="s">
        <v>38</v>
      </c>
      <c r="E357" s="172"/>
      <c r="F357" s="172"/>
      <c r="G357" s="173"/>
      <c r="H357" s="761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IFERROR(__xludf.DUMMYFUNCTION("IMPORTRANGE(""https://docs.google.com/spreadsheets/d/1XWAQStnk-4SwqDmLtmXYiTMKHgktTP8We1SCoS47DrQ/edit?usp=sharing"",""จัดที่ดิน!W85"")"),85)</f>
        <v>85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IFERROR(__xludf.DUMMYFUNCTION("IMPORTRANGE(""https://docs.google.com/spreadsheets/d/1QqKyyYR6Q21VydFLVH3TRQUabQu_ym0Zz7PgGX0-kHA/edit?usp=sharing"",""แผน!EO85"")"),450)</f>
        <v>450</v>
      </c>
      <c r="J359" s="269">
        <f ca="1">IFERROR(__xludf.DUMMYFUNCTION("IMPORTRANGE(""https://docs.google.com/spreadsheets/d/1XWAQStnk-4SwqDmLtmXYiTMKHgktTP8We1SCoS47DrQ/edit?usp=sharing"",""จัดที่ดิน!X85"")"),488.9)</f>
        <v>488.9</v>
      </c>
      <c r="K359" s="497">
        <f t="shared" ca="1" si="62"/>
        <v>108.64444444444445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63" t="s">
        <v>35</v>
      </c>
      <c r="I360" s="269">
        <f ca="1">IFERROR(__xludf.DUMMYFUNCTION("IMPORTRANGE(""https://docs.google.com/spreadsheets/d/1QqKyyYR6Q21VydFLVH3TRQUabQu_ym0Zz7PgGX0-kHA/edit?usp=sharing"",""แผน!EP85"")"),60)</f>
        <v>60</v>
      </c>
      <c r="J360" s="269">
        <f ca="1">IFERROR(__xludf.DUMMYFUNCTION("IMPORTRANGE(""https://docs.google.com/spreadsheets/d/1XWAQStnk-4SwqDmLtmXYiTMKHgktTP8We1SCoS47DrQ/edit?usp=sharing"",""จัดที่ดิน!Y85"")"),71)</f>
        <v>71</v>
      </c>
      <c r="K360" s="497">
        <f t="shared" ca="1" si="62"/>
        <v>118.33333333333333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63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IFERROR(__xludf.DUMMYFUNCTION("IMPORTRANGE(""https://docs.google.com/spreadsheets/d/1XWAQStnk-4SwqDmLtmXYiTMKHgktTP8We1SCoS47DrQ/edit?usp=sharing"",""จัดที่ดิน!Z85"")"),426.169999999999)</f>
        <v>426.16999999999899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63" t="s">
        <v>35</v>
      </c>
      <c r="I362" s="269">
        <f ca="1">IFERROR(__xludf.DUMMYFUNCTION("IMPORTRANGE(""https://docs.google.com/spreadsheets/d/1QqKyyYR6Q21VydFLVH3TRQUabQu_ym0Zz7PgGX0-kHA/edit?usp=sharing"",""แผน!EP85"")"),60)</f>
        <v>60</v>
      </c>
      <c r="J362" s="269">
        <f ca="1">IFERROR(__xludf.DUMMYFUNCTION("IMPORTRANGE(""https://docs.google.com/spreadsheets/d/1XWAQStnk-4SwqDmLtmXYiTMKHgktTP8We1SCoS47DrQ/edit?usp=sharing"",""จัดที่ดิน!AA85"")"),60)</f>
        <v>60</v>
      </c>
      <c r="K362" s="497">
        <f t="shared" ca="1" si="62"/>
        <v>100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7"/>
      <c r="F363" s="177"/>
      <c r="G363" s="178"/>
      <c r="H363" s="763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IFERROR(__xludf.DUMMYFUNCTION("IMPORTRANGE(""https://docs.google.com/spreadsheets/d/1XWAQStnk-4SwqDmLtmXYiTMKHgktTP8We1SCoS47DrQ/edit?usp=sharing"",""จัดที่ดิน!AB85"")"),347.28)</f>
        <v>347.28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110</v>
      </c>
      <c r="J364" s="478">
        <f ca="1">J365+J374</f>
        <v>150</v>
      </c>
      <c r="K364" s="479">
        <f t="shared" ca="1" si="62"/>
        <v>136.36363636363637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IFERROR(__xludf.DUMMYFUNCTION("IMPORTRANGE(""https://docs.google.com/spreadsheets/d/1QqKyyYR6Q21VydFLVH3TRQUabQu_ym0Zz7PgGX0-kHA/edit?usp=sharing"",""แผน!EJ85"")"),30)</f>
        <v>30</v>
      </c>
      <c r="J365" s="490">
        <f ca="1">J372</f>
        <v>33</v>
      </c>
      <c r="K365" s="491">
        <f t="shared" ca="1" si="62"/>
        <v>110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47" t="s">
        <v>38</v>
      </c>
      <c r="E367" s="172"/>
      <c r="F367" s="172"/>
      <c r="G367" s="173"/>
      <c r="H367" s="761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IFERROR(__xludf.DUMMYFUNCTION("IMPORTRANGE(""https://docs.google.com/spreadsheets/d/1XWAQStnk-4SwqDmLtmXYiTMKHgktTP8We1SCoS47DrQ/edit?usp=sharing"",""จัดที่ดิน!E85"")"),56)</f>
        <v>56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IFERROR(__xludf.DUMMYFUNCTION("IMPORTRANGE(""https://docs.google.com/spreadsheets/d/1QqKyyYR6Q21VydFLVH3TRQUabQu_ym0Zz7PgGX0-kHA/edit?usp=sharing"",""แผน!EI85"")"),300)</f>
        <v>300</v>
      </c>
      <c r="J369" s="269">
        <f ca="1">IFERROR(__xludf.DUMMYFUNCTION("IMPORTRANGE(""https://docs.google.com/spreadsheets/d/1XWAQStnk-4SwqDmLtmXYiTMKHgktTP8We1SCoS47DrQ/edit?usp=sharing"",""จัดที่ดิน!F85"")"),325.74)</f>
        <v>325.74</v>
      </c>
      <c r="K369" s="497">
        <f t="shared" ca="1" si="63"/>
        <v>108.58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63" t="s">
        <v>35</v>
      </c>
      <c r="I370" s="269">
        <f ca="1">IFERROR(__xludf.DUMMYFUNCTION("IMPORTRANGE(""https://docs.google.com/spreadsheets/d/1QqKyyYR6Q21VydFLVH3TRQUabQu_ym0Zz7PgGX0-kHA/edit?usp=sharing"",""แผน!EJ85"")"),30)</f>
        <v>30</v>
      </c>
      <c r="J370" s="269">
        <f ca="1">IFERROR(__xludf.DUMMYFUNCTION("IMPORTRANGE(""https://docs.google.com/spreadsheets/d/1XWAQStnk-4SwqDmLtmXYiTMKHgktTP8We1SCoS47DrQ/edit?usp=sharing"",""จัดที่ดิน!G85"")"),42)</f>
        <v>42</v>
      </c>
      <c r="K370" s="497">
        <f t="shared" ca="1" si="63"/>
        <v>140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63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IFERROR(__xludf.DUMMYFUNCTION("IMPORTRANGE(""https://docs.google.com/spreadsheets/d/1XWAQStnk-4SwqDmLtmXYiTMKHgktTP8We1SCoS47DrQ/edit?usp=sharing"",""จัดที่ดิน!H85"")"),263.01)</f>
        <v>263.01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63" t="s">
        <v>35</v>
      </c>
      <c r="I372" s="269">
        <f ca="1">IFERROR(__xludf.DUMMYFUNCTION("IMPORTRANGE(""https://docs.google.com/spreadsheets/d/1QqKyyYR6Q21VydFLVH3TRQUabQu_ym0Zz7PgGX0-kHA/edit?usp=sharing"",""แผน!EJ85"")"),30)</f>
        <v>30</v>
      </c>
      <c r="J372" s="269">
        <f ca="1">IFERROR(__xludf.DUMMYFUNCTION("IMPORTRANGE(""https://docs.google.com/spreadsheets/d/1XWAQStnk-4SwqDmLtmXYiTMKHgktTP8We1SCoS47DrQ/edit?usp=sharing"",""จัดที่ดิน!I85"")"),33)</f>
        <v>33</v>
      </c>
      <c r="K372" s="497">
        <f t="shared" ca="1" si="63"/>
        <v>110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7"/>
      <c r="C373" s="170"/>
      <c r="D373" s="177"/>
      <c r="E373" s="447"/>
      <c r="F373" s="177"/>
      <c r="G373" s="178"/>
      <c r="H373" s="763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IFERROR(__xludf.DUMMYFUNCTION("IMPORTRANGE(""https://docs.google.com/spreadsheets/d/1XWAQStnk-4SwqDmLtmXYiTMKHgktTP8We1SCoS47DrQ/edit?usp=sharing"",""จัดที่ดิน!J85"")"),204.12)</f>
        <v>204.12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IFERROR(__xludf.DUMMYFUNCTION("IMPORTRANGE(""https://docs.google.com/spreadsheets/d/1QqKyyYR6Q21VydFLVH3TRQUabQu_ym0Zz7PgGX0-kHA/edit?usp=sharing"",""แผน!EU85"")"),80)</f>
        <v>80</v>
      </c>
      <c r="J374" s="490">
        <f ca="1">J381</f>
        <v>117</v>
      </c>
      <c r="K374" s="491">
        <f t="shared" ca="1" si="63"/>
        <v>146.25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47" t="s">
        <v>38</v>
      </c>
      <c r="E376" s="172"/>
      <c r="F376" s="172"/>
      <c r="G376" s="173"/>
      <c r="H376" s="761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IFERROR(__xludf.DUMMYFUNCTION("IMPORTRANGE(""https://docs.google.com/spreadsheets/d/1XWAQStnk-4SwqDmLtmXYiTMKHgktTP8We1SCoS47DrQ/edit?usp=sharing"",""จัดที่ดิน!AH85"")"),29)</f>
        <v>29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IFERROR(__xludf.DUMMYFUNCTION("IMPORTRANGE(""https://docs.google.com/spreadsheets/d/1QqKyyYR6Q21VydFLVH3TRQUabQu_ym0Zz7PgGX0-kHA/edit?usp=sharing"",""แผน!ET85"")"),150)</f>
        <v>150</v>
      </c>
      <c r="J378" s="269">
        <f ca="1">IFERROR(__xludf.DUMMYFUNCTION("IMPORTRANGE(""https://docs.google.com/spreadsheets/d/1XWAQStnk-4SwqDmLtmXYiTMKHgktTP8We1SCoS47DrQ/edit?usp=sharing"",""จัดที่ดิน!AI85"")"),163.16)</f>
        <v>163.16</v>
      </c>
      <c r="K378" s="497">
        <f t="shared" ca="1" si="64"/>
        <v>108.77333333333333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63" t="s">
        <v>35</v>
      </c>
      <c r="I379" s="269">
        <f ca="1">IFERROR(__xludf.DUMMYFUNCTION("IMPORTRANGE(""https://docs.google.com/spreadsheets/d/1QqKyyYR6Q21VydFLVH3TRQUabQu_ym0Zz7PgGX0-kHA/edit?usp=sharing"",""แผน!EU85"")"),80)</f>
        <v>80</v>
      </c>
      <c r="J379" s="269">
        <f ca="1">IFERROR(__xludf.DUMMYFUNCTION("IMPORTRANGE(""https://docs.google.com/spreadsheets/d/1XWAQStnk-4SwqDmLtmXYiTMKHgktTP8We1SCoS47DrQ/edit?usp=sharing"",""จัดที่ดิน!AJ85"")"),128)</f>
        <v>128</v>
      </c>
      <c r="K379" s="497">
        <f t="shared" ca="1" si="64"/>
        <v>160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63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IFERROR(__xludf.DUMMYFUNCTION("IMPORTRANGE(""https://docs.google.com/spreadsheets/d/1XWAQStnk-4SwqDmLtmXYiTMKHgktTP8We1SCoS47DrQ/edit?usp=sharing"",""จัดที่ดิน!AK85"")"),1631.73)</f>
        <v>1631.73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63" t="s">
        <v>35</v>
      </c>
      <c r="I381" s="269">
        <f ca="1">IFERROR(__xludf.DUMMYFUNCTION("IMPORTRANGE(""https://docs.google.com/spreadsheets/d/1QqKyyYR6Q21VydFLVH3TRQUabQu_ym0Zz7PgGX0-kHA/edit?usp=sharing"",""แผน!EU85"")"),80)</f>
        <v>80</v>
      </c>
      <c r="J381" s="269">
        <f ca="1">IFERROR(__xludf.DUMMYFUNCTION("IMPORTRANGE(""https://docs.google.com/spreadsheets/d/1XWAQStnk-4SwqDmLtmXYiTMKHgktTP8We1SCoS47DrQ/edit?usp=sharing"",""จัดที่ดิน!AL85"")"),117)</f>
        <v>117</v>
      </c>
      <c r="K381" s="497">
        <f t="shared" ca="1" si="64"/>
        <v>146.25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7"/>
      <c r="C382" s="170"/>
      <c r="D382" s="177"/>
      <c r="E382" s="447"/>
      <c r="F382" s="177"/>
      <c r="G382" s="178"/>
      <c r="H382" s="763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IFERROR(__xludf.DUMMYFUNCTION("IMPORTRANGE(""https://docs.google.com/spreadsheets/d/1XWAQStnk-4SwqDmLtmXYiTMKHgktTP8We1SCoS47DrQ/edit?usp=sharing"",""จัดที่ดิน!AM85"")"),1368.65)</f>
        <v>1368.65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498"/>
      <c r="B383" s="499"/>
      <c r="C383" s="290"/>
      <c r="D383" s="849" t="s">
        <v>169</v>
      </c>
      <c r="E383" s="290"/>
      <c r="F383" s="290"/>
      <c r="G383" s="501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4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761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503" t="s">
        <v>170</v>
      </c>
      <c r="F385" s="380"/>
      <c r="G385" s="381"/>
      <c r="H385" s="504" t="s">
        <v>35</v>
      </c>
      <c r="I385" s="505">
        <f ca="1">IFERROR(__xludf.DUMMYFUNCTION("IMPORTRANGE(""https://docs.google.com/spreadsheets/d/1QqKyyYR6Q21VydFLVH3TRQUabQu_ym0Zz7PgGX0-kHA/edit?usp=sharing"",""แผน!EW85"")"),10)</f>
        <v>10</v>
      </c>
      <c r="J385" s="505">
        <f ca="1">IFERROR(__xludf.DUMMYFUNCTION("IMPORTRANGE(""https://docs.google.com/spreadsheets/d/1XWAQStnk-4SwqDmLtmXYiTMKHgktTP8We1SCoS47DrQ/edit?usp=sharing"",""จัดที่ดิน!AP85"")"),12)</f>
        <v>12</v>
      </c>
      <c r="K385" s="506">
        <f ca="1">IF(I385&gt;0,J385*100/I385,0)</f>
        <v>120</v>
      </c>
      <c r="L385" s="384"/>
      <c r="M385" s="384"/>
      <c r="N385" s="384"/>
      <c r="O385" s="384"/>
      <c r="P385" s="384"/>
    </row>
    <row r="386" spans="1:26" ht="19.5" hidden="1">
      <c r="A386" s="507" t="s">
        <v>171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172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173</v>
      </c>
      <c r="C388" s="522"/>
      <c r="D388" s="523"/>
      <c r="E388" s="523"/>
      <c r="F388" s="523"/>
      <c r="G388" s="524"/>
      <c r="H388" s="525" t="s">
        <v>66</v>
      </c>
      <c r="I388" s="526">
        <f>I400</f>
        <v>0</v>
      </c>
      <c r="J388" s="526">
        <f>J400</f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6"/>
      <c r="B389" s="147"/>
      <c r="C389" s="148" t="s">
        <v>16</v>
      </c>
      <c r="D389" s="846" t="s">
        <v>17</v>
      </c>
      <c r="E389" s="147"/>
      <c r="F389" s="147"/>
      <c r="G389" s="150"/>
      <c r="H389" s="151" t="s">
        <v>12</v>
      </c>
      <c r="I389" s="420"/>
      <c r="J389" s="420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6"/>
      <c r="J390" s="616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6"/>
      <c r="J391" s="616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IFERROR(__xludf.DUMMYFUNCTION("IMPORTRANGE(""https://docs.google.com/spreadsheets/d/1MeEWN-I1oV_STSDYn1IFDPWt_1FKiwhDph83XaGc0o0/edit?usp=sharing"",""งบพรบ!FG85"")"),0)</f>
        <v>0</v>
      </c>
      <c r="M394" s="92">
        <f ca="1">IFERROR(__xludf.DUMMYFUNCTION("IMPORTRANGE(""https://docs.google.com/spreadsheets/d/1MeEWN-I1oV_STSDYn1IFDPWt_1FKiwhDph83XaGc0o0/edit?usp=sharing"",""งบพรบ!FL85"")"),0)</f>
        <v>0</v>
      </c>
      <c r="N394" s="92">
        <f ca="1">IFERROR(__xludf.DUMMYFUNCTION("IMPORTRANGE(""https://docs.google.com/spreadsheets/d/1MeEWN-I1oV_STSDYn1IFDPWt_1FKiwhDph83XaGc0o0/edit?usp=sharing"",""งบพรบ!FN85"")"),0)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IFERROR(__xludf.DUMMYFUNCTION("IMPORTRANGE(""https://docs.google.com/spreadsheets/d/1MeEWN-I1oV_STSDYn1IFDPWt_1FKiwhDph83XaGc0o0/edit?usp=sharing"",""งบพรบ!FJ85"")"),0)</f>
        <v>0</v>
      </c>
      <c r="M397" s="92">
        <f ca="1">IFERROR(__xludf.DUMMYFUNCTION("IMPORTRANGE(""https://docs.google.com/spreadsheets/d/1MeEWN-I1oV_STSDYn1IFDPWt_1FKiwhDph83XaGc0o0/edit?usp=sharing"",""งบพรบ!FM85"")"),0)</f>
        <v>0</v>
      </c>
      <c r="N397" s="92">
        <f ca="1">IFERROR(__xludf.DUMMYFUNCTION("IMPORTRANGE(""https://docs.google.com/spreadsheets/d/1MeEWN-I1oV_STSDYn1IFDPWt_1FKiwhDph83XaGc0o0/edit?usp=sharing"",""งบพรบ!FO85"")"),0)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47" t="s">
        <v>38</v>
      </c>
      <c r="E398" s="172"/>
      <c r="F398" s="172"/>
      <c r="G398" s="173"/>
      <c r="H398" s="761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9"/>
      <c r="B399" s="147"/>
      <c r="C399" s="530"/>
      <c r="D399" s="531" t="s">
        <v>174</v>
      </c>
      <c r="E399" s="415"/>
      <c r="F399" s="147"/>
      <c r="G399" s="150"/>
      <c r="H399" s="532" t="s">
        <v>9</v>
      </c>
      <c r="I399" s="269">
        <v>0</v>
      </c>
      <c r="J399" s="214">
        <v>0</v>
      </c>
      <c r="K399" s="497">
        <f>IF(I399&gt;0,J399*100/I399,0)</f>
        <v>0</v>
      </c>
      <c r="L399" s="533"/>
      <c r="M399" s="533"/>
      <c r="N399" s="533"/>
      <c r="O399" s="533"/>
      <c r="P399" s="533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3"/>
      <c r="B400" s="32"/>
      <c r="C400" s="280"/>
      <c r="D400" s="447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20"/>
      <c r="B401" s="521" t="s">
        <v>176</v>
      </c>
      <c r="C401" s="522"/>
      <c r="D401" s="523"/>
      <c r="E401" s="523"/>
      <c r="F401" s="523"/>
      <c r="G401" s="524"/>
      <c r="H401" s="525" t="s">
        <v>66</v>
      </c>
      <c r="I401" s="526">
        <f>I412</f>
        <v>0</v>
      </c>
      <c r="J401" s="526">
        <f>J412</f>
        <v>0</v>
      </c>
      <c r="K401" s="527">
        <f>IF(I401&gt;0,J401*100/I401,0)</f>
        <v>0</v>
      </c>
      <c r="L401" s="528"/>
      <c r="M401" s="528"/>
      <c r="N401" s="528"/>
      <c r="O401" s="528"/>
      <c r="P401" s="528"/>
    </row>
    <row r="402" spans="1:26" ht="19.5" hidden="1">
      <c r="A402" s="146"/>
      <c r="B402" s="147"/>
      <c r="C402" s="148" t="s">
        <v>16</v>
      </c>
      <c r="D402" s="846" t="s">
        <v>17</v>
      </c>
      <c r="E402" s="147"/>
      <c r="F402" s="147"/>
      <c r="G402" s="150"/>
      <c r="H402" s="151" t="s">
        <v>12</v>
      </c>
      <c r="I402" s="420"/>
      <c r="J402" s="420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6"/>
      <c r="J403" s="616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6"/>
      <c r="J404" s="616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IFERROR(__xludf.DUMMYFUNCTION("IMPORTRANGE(""https://docs.google.com/spreadsheets/d/1MeEWN-I1oV_STSDYn1IFDPWt_1FKiwhDph83XaGc0o0/edit?usp=sharing"",""งบพรบ!FQ85"")"),0)</f>
        <v>0</v>
      </c>
      <c r="M407" s="92">
        <f ca="1">IFERROR(__xludf.DUMMYFUNCTION("IMPORTRANGE(""https://docs.google.com/spreadsheets/d/1MeEWN-I1oV_STSDYn1IFDPWt_1FKiwhDph83XaGc0o0/edit?usp=sharing"",""งบพรบ!FV85"")"),0)</f>
        <v>0</v>
      </c>
      <c r="N407" s="92">
        <f ca="1">IFERROR(__xludf.DUMMYFUNCTION("IMPORTRANGE(""https://docs.google.com/spreadsheets/d/1MeEWN-I1oV_STSDYn1IFDPWt_1FKiwhDph83XaGc0o0/edit?usp=sharing"",""งบพรบ!FX85"")"),0)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IFERROR(__xludf.DUMMYFUNCTION("IMPORTRANGE(""https://docs.google.com/spreadsheets/d/1MeEWN-I1oV_STSDYn1IFDPWt_1FKiwhDph83XaGc0o0/edit?usp=sharing"",""งบพรบ!FT85"")"),0)</f>
        <v>0</v>
      </c>
      <c r="M410" s="92">
        <f ca="1">IFERROR(__xludf.DUMMYFUNCTION("IMPORTRANGE(""https://docs.google.com/spreadsheets/d/1MeEWN-I1oV_STSDYn1IFDPWt_1FKiwhDph83XaGc0o0/edit?usp=sharing"",""งบพรบ!FW85"")"),0)</f>
        <v>0</v>
      </c>
      <c r="N410" s="92">
        <f ca="1">IFERROR(__xludf.DUMMYFUNCTION("IMPORTRANGE(""https://docs.google.com/spreadsheets/d/1MeEWN-I1oV_STSDYn1IFDPWt_1FKiwhDph83XaGc0o0/edit?usp=sharing"",""งบพรบ!FY85"")"),0)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45" t="s">
        <v>38</v>
      </c>
      <c r="E411" s="535"/>
      <c r="F411" s="535"/>
      <c r="G411" s="536"/>
      <c r="H411" s="761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7" t="s">
        <v>177</v>
      </c>
      <c r="E412" s="177"/>
      <c r="F412" s="177"/>
      <c r="G412" s="178"/>
      <c r="H412" s="537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8"/>
      <c r="B413" s="539"/>
      <c r="C413" s="539"/>
      <c r="D413" s="540" t="s">
        <v>178</v>
      </c>
      <c r="E413" s="539"/>
      <c r="F413" s="539"/>
      <c r="G413" s="541"/>
      <c r="H413" s="542" t="s">
        <v>179</v>
      </c>
      <c r="I413" s="543">
        <v>0</v>
      </c>
      <c r="J413" s="544">
        <v>0</v>
      </c>
      <c r="K413" s="545">
        <f>IF(I413&gt;0,J413*100/I413,0)</f>
        <v>0</v>
      </c>
      <c r="L413" s="546"/>
      <c r="M413" s="546"/>
      <c r="N413" s="546"/>
      <c r="O413" s="546"/>
      <c r="P413" s="546"/>
    </row>
    <row r="414" spans="1:26" ht="19.5">
      <c r="A414" s="547" t="s">
        <v>180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ca="1">L419+L444+L467+L502+L523+L544+L629+L655+L685+L737+L754+L770+L786+L805</f>
        <v>1688618</v>
      </c>
      <c r="M414" s="553">
        <f ca="1">M419+M444+M467+M502+M523+M544+M629+M655+M685+M737+M754+M770+M786+M805</f>
        <v>1375408</v>
      </c>
      <c r="N414" s="553">
        <f>N419+N444+N467+N502+N523+N544+N629+N655+N685+N737+N754+N770+N786+N805</f>
        <v>1375408</v>
      </c>
      <c r="O414" s="553">
        <f ca="1">IF(L414&gt;0,N414*100/L414,0)</f>
        <v>81.451696002293005</v>
      </c>
      <c r="P414" s="553">
        <f ca="1">IF(M414&gt;0,N414*100/M414,0)</f>
        <v>100</v>
      </c>
    </row>
    <row r="415" spans="1:26" ht="19.5">
      <c r="A415" s="554" t="s">
        <v>181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182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183</v>
      </c>
      <c r="C417" s="565"/>
      <c r="D417" s="566"/>
      <c r="E417" s="566"/>
      <c r="F417" s="566"/>
      <c r="G417" s="567"/>
      <c r="H417" s="568" t="s">
        <v>35</v>
      </c>
      <c r="I417" s="569">
        <f ca="1">I433</f>
        <v>15</v>
      </c>
      <c r="J417" s="569">
        <f ca="1">J433</f>
        <v>15</v>
      </c>
      <c r="K417" s="570">
        <f ca="1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ca="1">I434</f>
        <v>1</v>
      </c>
      <c r="J418" s="569">
        <f>J434</f>
        <v>1</v>
      </c>
      <c r="K418" s="570">
        <f ca="1">IF(I418&gt;0,J418*100/I418,0)</f>
        <v>100</v>
      </c>
      <c r="L418" s="571"/>
      <c r="M418" s="571"/>
      <c r="N418" s="571"/>
      <c r="O418" s="571"/>
      <c r="P418" s="571"/>
    </row>
    <row r="419" spans="1:26" ht="19.5">
      <c r="A419" s="146"/>
      <c r="B419" s="147"/>
      <c r="C419" s="147" t="s">
        <v>16</v>
      </c>
      <c r="D419" s="910" t="s">
        <v>17</v>
      </c>
      <c r="E419" s="890"/>
      <c r="F419" s="890"/>
      <c r="G419" s="150"/>
      <c r="H419" s="274" t="s">
        <v>12</v>
      </c>
      <c r="I419" s="420"/>
      <c r="J419" s="420"/>
      <c r="K419" s="153"/>
      <c r="L419" s="154">
        <f ca="1">L420+L421</f>
        <v>66560</v>
      </c>
      <c r="M419" s="154">
        <f ca="1">M420+M421</f>
        <v>66560</v>
      </c>
      <c r="N419" s="154">
        <f>N420+N421</f>
        <v>66560</v>
      </c>
      <c r="O419" s="154">
        <f t="shared" ref="O419:O424" ca="1" si="71">IF(L419&gt;0,N419*100/L419,0)</f>
        <v>100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6"/>
      <c r="J420" s="616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6"/>
      <c r="J421" s="616"/>
      <c r="K421" s="92"/>
      <c r="L421" s="92">
        <f t="shared" ca="1" si="73"/>
        <v>66560</v>
      </c>
      <c r="M421" s="92">
        <f t="shared" ca="1" si="73"/>
        <v>66560</v>
      </c>
      <c r="N421" s="92">
        <f t="shared" si="73"/>
        <v>66560</v>
      </c>
      <c r="O421" s="92">
        <f t="shared" ca="1" si="71"/>
        <v>100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66560</v>
      </c>
      <c r="M422" s="497">
        <f ca="1">M423+M424</f>
        <v>66560</v>
      </c>
      <c r="N422" s="497">
        <f>N423+N424</f>
        <v>66560</v>
      </c>
      <c r="O422" s="497">
        <f t="shared" ca="1" si="71"/>
        <v>100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6"/>
      <c r="J423" s="616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6"/>
      <c r="J424" s="616"/>
      <c r="K424" s="92"/>
      <c r="L424" s="92">
        <f ca="1">IFERROR(__xludf.DUMMYFUNCTION("IMPORTRANGE(""https://docs.google.com/spreadsheets/d/1QqKyyYR6Q21VydFLVH3TRQUabQu_ym0Zz7PgGX0-kHA/edit?usp=sharing"",""แผน!EY85"")"),66560)</f>
        <v>66560</v>
      </c>
      <c r="M424" s="92">
        <f ca="1">L424</f>
        <v>66560</v>
      </c>
      <c r="N424" s="92">
        <f>N425+N426+N427+N428</f>
        <v>66560</v>
      </c>
      <c r="O424" s="92">
        <f t="shared" ca="1" si="71"/>
        <v>100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73"/>
      <c r="B425" s="574"/>
      <c r="C425" s="762"/>
      <c r="D425" s="762"/>
      <c r="E425" s="762"/>
      <c r="F425" s="762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826">
        <v>25125</v>
      </c>
      <c r="O425" s="497"/>
      <c r="P425" s="497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826">
        <v>0</v>
      </c>
      <c r="O426" s="497"/>
      <c r="P426" s="497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826">
        <v>0</v>
      </c>
      <c r="O427" s="497"/>
      <c r="P427" s="497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3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826">
        <v>41435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IFERROR(__xludf.DUMMYFUNCTION("IMPORTRANGE(""https://docs.google.com/spreadsheets/d/1QqKyyYR6Q21VydFLVH3TRQUabQu_ym0Zz7PgGX0-kHA/edit?usp=sharing"",""แผน!FB85"")"),0)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4"/>
      <c r="B432" s="415"/>
      <c r="C432" s="147" t="s">
        <v>16</v>
      </c>
      <c r="D432" s="844" t="s">
        <v>38</v>
      </c>
      <c r="E432" s="579"/>
      <c r="F432" s="579"/>
      <c r="G432" s="580"/>
      <c r="H432" s="581"/>
      <c r="I432" s="420"/>
      <c r="J432" s="420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80">
        <f ca="1">I438+I440</f>
        <v>1</v>
      </c>
      <c r="J434" s="680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7" t="s">
        <v>192</v>
      </c>
      <c r="E435" s="177"/>
      <c r="F435" s="177"/>
      <c r="G435" s="178"/>
      <c r="H435" s="622" t="s">
        <v>35</v>
      </c>
      <c r="I435" s="582">
        <f ca="1">IFERROR(__xludf.DUMMYFUNCTION("IMPORTRANGE(""https://docs.google.com/spreadsheets/d/1QqKyyYR6Q21VydFLVH3TRQUabQu_ym0Zz7PgGX0-kHA/edit?usp=sharing"",""แผน!FC85"")"),15)</f>
        <v>15</v>
      </c>
      <c r="J435" s="583">
        <v>15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7" t="s">
        <v>193</v>
      </c>
      <c r="E436" s="177"/>
      <c r="F436" s="177"/>
      <c r="G436" s="178"/>
      <c r="H436" s="622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7" t="s">
        <v>194</v>
      </c>
      <c r="E437" s="177"/>
      <c r="F437" s="177"/>
      <c r="G437" s="178"/>
      <c r="H437" s="622" t="s">
        <v>35</v>
      </c>
      <c r="I437" s="582">
        <f ca="1">IFERROR(__xludf.DUMMYFUNCTION("IMPORTRANGE(""https://docs.google.com/spreadsheets/d/1QqKyyYR6Q21VydFLVH3TRQUabQu_ym0Zz7PgGX0-kHA/edit?usp=sharing"",""แผน!FD85"")"),0)</f>
        <v>0</v>
      </c>
      <c r="J437" s="583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7" t="s">
        <v>195</v>
      </c>
      <c r="E438" s="177"/>
      <c r="F438" s="177"/>
      <c r="G438" s="178"/>
      <c r="H438" s="622" t="s">
        <v>49</v>
      </c>
      <c r="I438" s="269">
        <f ca="1">IFERROR(__xludf.DUMMYFUNCTION("IMPORTRANGE(""https://docs.google.com/spreadsheets/d/1QqKyyYR6Q21VydFLVH3TRQUabQu_ym0Zz7PgGX0-kHA/edit?usp=sharing"",""แผน!FE85"")"),0)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7" t="s">
        <v>196</v>
      </c>
      <c r="E439" s="177"/>
      <c r="F439" s="177"/>
      <c r="G439" s="178"/>
      <c r="H439" s="622" t="s">
        <v>35</v>
      </c>
      <c r="I439" s="582">
        <f ca="1">IFERROR(__xludf.DUMMYFUNCTION("IMPORTRANGE(""https://docs.google.com/spreadsheets/d/1QqKyyYR6Q21VydFLVH3TRQUabQu_ym0Zz7PgGX0-kHA/edit?usp=sharing"",""แผน!FF85"")"),15)</f>
        <v>15</v>
      </c>
      <c r="J439" s="583">
        <v>15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7" t="s">
        <v>197</v>
      </c>
      <c r="E440" s="177"/>
      <c r="F440" s="177"/>
      <c r="G440" s="178"/>
      <c r="H440" s="622" t="s">
        <v>49</v>
      </c>
      <c r="I440" s="269">
        <f ca="1">IFERROR(__xludf.DUMMYFUNCTION("IMPORTRANGE(""https://docs.google.com/spreadsheets/d/1QqKyyYR6Q21VydFLVH3TRQUabQu_ym0Zz7PgGX0-kHA/edit?usp=sharing"",""แผน!FG85"")"),1)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7" t="s">
        <v>198</v>
      </c>
      <c r="E441" s="177"/>
      <c r="F441" s="177"/>
      <c r="G441" s="178"/>
      <c r="H441" s="622" t="s">
        <v>35</v>
      </c>
      <c r="I441" s="269">
        <f ca="1">IFERROR(__xludf.DUMMYFUNCTION("IMPORTRANGE(""https://docs.google.com/spreadsheets/d/1QqKyyYR6Q21VydFLVH3TRQUabQu_ym0Zz7PgGX0-kHA/edit?usp=sharing"",""แผน!FH85"")"),0)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84">
        <v>2</v>
      </c>
      <c r="B442" s="585" t="s">
        <v>199</v>
      </c>
      <c r="C442" s="586"/>
      <c r="D442" s="586"/>
      <c r="E442" s="586"/>
      <c r="F442" s="586"/>
      <c r="G442" s="587"/>
      <c r="H442" s="588" t="s">
        <v>35</v>
      </c>
      <c r="I442" s="589">
        <f ca="1">I460</f>
        <v>20</v>
      </c>
      <c r="J442" s="589">
        <f>J460</f>
        <v>20</v>
      </c>
      <c r="K442" s="590">
        <f t="shared" ca="1" si="7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ca="1">I462</f>
        <v>20</v>
      </c>
      <c r="J443" s="569">
        <f>J462</f>
        <v>20</v>
      </c>
      <c r="K443" s="570">
        <f t="shared" ca="1" si="7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87" t="s">
        <v>17</v>
      </c>
      <c r="E444" s="888"/>
      <c r="F444" s="888"/>
      <c r="G444" s="188"/>
      <c r="H444" s="597" t="s">
        <v>12</v>
      </c>
      <c r="I444" s="269"/>
      <c r="J444" s="269"/>
      <c r="K444" s="497"/>
      <c r="L444" s="194">
        <f ca="1">L445+L446</f>
        <v>78360</v>
      </c>
      <c r="M444" s="194">
        <f ca="1">M445+M446</f>
        <v>78360</v>
      </c>
      <c r="N444" s="194">
        <f>N445+N446</f>
        <v>78360</v>
      </c>
      <c r="O444" s="194">
        <f t="shared" ref="O444:O449" ca="1" si="75">IF(L444&gt;0,N444*100/L444,0)</f>
        <v>100</v>
      </c>
      <c r="P444" s="194">
        <f t="shared" ref="P444:P449" ca="1" si="76">IF(M444&gt;0,N444*100/M444,0)</f>
        <v>100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184</v>
      </c>
      <c r="F445" s="758"/>
      <c r="G445" s="602"/>
      <c r="H445" s="164" t="s">
        <v>12</v>
      </c>
      <c r="I445" s="616"/>
      <c r="J445" s="616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185</v>
      </c>
      <c r="F446" s="758"/>
      <c r="G446" s="602"/>
      <c r="H446" s="164" t="s">
        <v>12</v>
      </c>
      <c r="I446" s="616"/>
      <c r="J446" s="616"/>
      <c r="K446" s="92"/>
      <c r="L446" s="92">
        <f t="shared" ca="1" si="77"/>
        <v>78360</v>
      </c>
      <c r="M446" s="92">
        <f t="shared" ca="1" si="77"/>
        <v>78360</v>
      </c>
      <c r="N446" s="92">
        <f t="shared" si="77"/>
        <v>78360</v>
      </c>
      <c r="O446" s="92">
        <f t="shared" ca="1" si="75"/>
        <v>100</v>
      </c>
      <c r="P446" s="92">
        <f t="shared" ca="1" si="76"/>
        <v>100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8"/>
      <c r="H447" s="160" t="s">
        <v>12</v>
      </c>
      <c r="I447" s="183"/>
      <c r="J447" s="183"/>
      <c r="K447" s="162"/>
      <c r="L447" s="497">
        <f ca="1">L448+L449</f>
        <v>78360</v>
      </c>
      <c r="M447" s="497">
        <f ca="1">M448+M449</f>
        <v>78360</v>
      </c>
      <c r="N447" s="497">
        <f>N448+N449</f>
        <v>78360</v>
      </c>
      <c r="O447" s="497">
        <f t="shared" ca="1" si="75"/>
        <v>100</v>
      </c>
      <c r="P447" s="497">
        <f t="shared" ca="1" si="76"/>
        <v>100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184</v>
      </c>
      <c r="F448" s="758"/>
      <c r="G448" s="602"/>
      <c r="H448" s="164" t="s">
        <v>12</v>
      </c>
      <c r="I448" s="616"/>
      <c r="J448" s="616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185</v>
      </c>
      <c r="F449" s="758"/>
      <c r="G449" s="602"/>
      <c r="H449" s="164" t="s">
        <v>12</v>
      </c>
      <c r="I449" s="616"/>
      <c r="J449" s="616"/>
      <c r="K449" s="92"/>
      <c r="L449" s="92">
        <f ca="1">IFERROR(__xludf.DUMMYFUNCTION("IMPORTRANGE(""https://docs.google.com/spreadsheets/d/1QqKyyYR6Q21VydFLVH3TRQUabQu_ym0Zz7PgGX0-kHA/edit?usp=sharing"",""แผน!FJ85"")"),78360)</f>
        <v>78360</v>
      </c>
      <c r="M449" s="92">
        <f ca="1">L449</f>
        <v>78360</v>
      </c>
      <c r="N449" s="92">
        <f>N450+N451+N452+N453</f>
        <v>78360</v>
      </c>
      <c r="O449" s="92">
        <f t="shared" ca="1" si="75"/>
        <v>100</v>
      </c>
      <c r="P449" s="92">
        <f t="shared" ca="1" si="76"/>
        <v>100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826">
        <v>25990</v>
      </c>
      <c r="O450" s="497"/>
      <c r="P450" s="497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826">
        <v>34800</v>
      </c>
      <c r="O451" s="497"/>
      <c r="P451" s="497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826">
        <v>0</v>
      </c>
      <c r="O452" s="497"/>
      <c r="P452" s="497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826">
        <v>17570</v>
      </c>
      <c r="O453" s="497"/>
      <c r="P453" s="497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IFERROR(__xludf.DUMMYFUNCTION("IMPORTRANGE(""https://docs.google.com/spreadsheets/d/1QqKyyYR6Q21VydFLVH3TRQUabQu_ym0Zz7PgGX0-kHA/edit?usp=sharing"",""แผน!FM85"")"),0)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40" t="s">
        <v>38</v>
      </c>
      <c r="E457" s="610"/>
      <c r="F457" s="760"/>
      <c r="G457" s="612"/>
      <c r="H457" s="761"/>
      <c r="I457" s="269"/>
      <c r="J457" s="269"/>
      <c r="K457" s="497"/>
      <c r="L457" s="497"/>
      <c r="M457" s="497"/>
      <c r="N457" s="497"/>
      <c r="O457" s="497"/>
      <c r="P457" s="497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200</v>
      </c>
      <c r="E458" s="615"/>
      <c r="F458" s="719"/>
      <c r="G458" s="365"/>
      <c r="H458" s="369" t="s">
        <v>35</v>
      </c>
      <c r="I458" s="616">
        <v>0</v>
      </c>
      <c r="J458" s="616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201</v>
      </c>
      <c r="E459" s="615"/>
      <c r="F459" s="719"/>
      <c r="G459" s="365"/>
      <c r="H459" s="369"/>
      <c r="I459" s="616"/>
      <c r="J459" s="616"/>
      <c r="K459" s="92"/>
      <c r="L459" s="92"/>
      <c r="M459" s="92"/>
      <c r="N459" s="92"/>
      <c r="O459" s="92"/>
      <c r="P459" s="92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202</v>
      </c>
      <c r="E460" s="617"/>
      <c r="F460" s="625"/>
      <c r="G460" s="761"/>
      <c r="H460" s="763" t="s">
        <v>35</v>
      </c>
      <c r="I460" s="269">
        <f ca="1">IFERROR(__xludf.DUMMYFUNCTION("IMPORTRANGE(""https://docs.google.com/spreadsheets/d/1QqKyyYR6Q21VydFLVH3TRQUabQu_ym0Zz7PgGX0-kHA/edit?usp=sharing"",""แผน!FN85"")"),20)</f>
        <v>20</v>
      </c>
      <c r="J460" s="214">
        <v>20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203</v>
      </c>
      <c r="E461" s="625"/>
      <c r="F461" s="625"/>
      <c r="G461" s="761"/>
      <c r="H461" s="763"/>
      <c r="I461" s="269"/>
      <c r="J461" s="269"/>
      <c r="K461" s="497"/>
      <c r="L461" s="497"/>
      <c r="M461" s="497"/>
      <c r="N461" s="497"/>
      <c r="O461" s="497"/>
      <c r="P461" s="497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204</v>
      </c>
      <c r="E462" s="625"/>
      <c r="F462" s="625"/>
      <c r="G462" s="761"/>
      <c r="H462" s="763" t="s">
        <v>46</v>
      </c>
      <c r="I462" s="269">
        <f ca="1">IFERROR(__xludf.DUMMYFUNCTION("IMPORTRANGE(""https://docs.google.com/spreadsheets/d/1QqKyyYR6Q21VydFLVH3TRQUabQu_ym0Zz7PgGX0-kHA/edit?usp=sharing"",""แผน!FO85"")"),20)</f>
        <v>20</v>
      </c>
      <c r="J462" s="214">
        <v>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8"/>
      <c r="H463" s="763" t="s">
        <v>46</v>
      </c>
      <c r="I463" s="269">
        <f ca="1">IFERROR(__xludf.DUMMYFUNCTION("IMPORTRANGE(""https://docs.google.com/spreadsheets/d/1QqKyyYR6Q21VydFLVH3TRQUabQu_ym0Zz7PgGX0-kHA/edit?usp=sharing"",""แผน!FO85"")"),20)</f>
        <v>20</v>
      </c>
      <c r="J463" s="214">
        <v>20</v>
      </c>
      <c r="K463" s="497"/>
      <c r="L463" s="497"/>
      <c r="M463" s="497"/>
      <c r="N463" s="497"/>
      <c r="O463" s="497"/>
      <c r="P463" s="497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69">
        <f ca="1">IFERROR(__xludf.DUMMYFUNCTION("IMPORTRANGE(""https://docs.google.com/spreadsheets/d/1QqKyyYR6Q21VydFLVH3TRQUabQu_ym0Zz7PgGX0-kHA/edit?usp=sharing"",""แผน!FN85"")"),20)</f>
        <v>20</v>
      </c>
      <c r="J464" s="214">
        <v>20</v>
      </c>
      <c r="K464" s="497"/>
      <c r="L464" s="497"/>
      <c r="M464" s="497"/>
      <c r="N464" s="497"/>
      <c r="O464" s="497"/>
      <c r="P464" s="497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205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IFERROR(__xludf.DUMMYFUNCTION("IMPORTRANGE(""https://docs.google.com/spreadsheets/d/1QqKyyYR6Q21VydFLVH3TRQUabQu_ym0Zz7PgGX0-kHA/edit?usp=sharing"",""แผน!FX85"")"),131)</f>
        <v>131</v>
      </c>
      <c r="J465" s="589">
        <f>J485+J489+J492</f>
        <v>131</v>
      </c>
      <c r="K465" s="590">
        <f ca="1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IFERROR(__xludf.DUMMYFUNCTION("IMPORTRANGE(""https://docs.google.com/spreadsheets/d/1QqKyyYR6Q21VydFLVH3TRQUabQu_ym0Zz7PgGX0-kHA/edit?usp=sharing"",""แผน!FW85"")"),1300)</f>
        <v>1300</v>
      </c>
      <c r="J466" s="569">
        <f>J495+J498</f>
        <v>1300</v>
      </c>
      <c r="K466" s="570">
        <f ca="1">IF(I466&gt;0,J466*100/I466,0)</f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87" t="s">
        <v>17</v>
      </c>
      <c r="E467" s="888"/>
      <c r="F467" s="888"/>
      <c r="G467" s="188"/>
      <c r="H467" s="597" t="s">
        <v>12</v>
      </c>
      <c r="I467" s="269"/>
      <c r="J467" s="269"/>
      <c r="K467" s="497"/>
      <c r="L467" s="194">
        <f ca="1">L468+L469</f>
        <v>1161548</v>
      </c>
      <c r="M467" s="194">
        <f ca="1">M468+M469</f>
        <v>855922</v>
      </c>
      <c r="N467" s="194">
        <f>N468+N469</f>
        <v>855922</v>
      </c>
      <c r="O467" s="194">
        <f t="shared" ref="O467:O472" ca="1" si="78">IF(L467&gt;0,N467*100/L467,0)</f>
        <v>73.688043886262122</v>
      </c>
      <c r="P467" s="194">
        <f t="shared" ref="P467:P472" ca="1" si="79">IF(M467&gt;0,N467*100/M467,0)</f>
        <v>100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184</v>
      </c>
      <c r="F468" s="758"/>
      <c r="G468" s="602"/>
      <c r="H468" s="164" t="s">
        <v>12</v>
      </c>
      <c r="I468" s="616"/>
      <c r="J468" s="616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185</v>
      </c>
      <c r="F469" s="758"/>
      <c r="G469" s="602"/>
      <c r="H469" s="164" t="s">
        <v>12</v>
      </c>
      <c r="I469" s="616"/>
      <c r="J469" s="616"/>
      <c r="K469" s="92"/>
      <c r="L469" s="92">
        <f t="shared" ca="1" si="80"/>
        <v>1161548</v>
      </c>
      <c r="M469" s="92">
        <f t="shared" ca="1" si="80"/>
        <v>855922</v>
      </c>
      <c r="N469" s="92">
        <f t="shared" si="80"/>
        <v>855922</v>
      </c>
      <c r="O469" s="92">
        <f t="shared" ca="1" si="78"/>
        <v>73.688043886262122</v>
      </c>
      <c r="P469" s="92">
        <f t="shared" ca="1" si="79"/>
        <v>100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8"/>
      <c r="H470" s="160" t="s">
        <v>12</v>
      </c>
      <c r="I470" s="183"/>
      <c r="J470" s="183"/>
      <c r="K470" s="162"/>
      <c r="L470" s="497">
        <f ca="1">L471+L472</f>
        <v>1161548</v>
      </c>
      <c r="M470" s="497">
        <f ca="1">M471+M472</f>
        <v>855922</v>
      </c>
      <c r="N470" s="497">
        <f>N471+N472</f>
        <v>855922</v>
      </c>
      <c r="O470" s="497">
        <f t="shared" ca="1" si="78"/>
        <v>73.688043886262122</v>
      </c>
      <c r="P470" s="497">
        <f t="shared" ca="1" si="79"/>
        <v>100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184</v>
      </c>
      <c r="F471" s="758"/>
      <c r="G471" s="602"/>
      <c r="H471" s="164" t="s">
        <v>12</v>
      </c>
      <c r="I471" s="616"/>
      <c r="J471" s="616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185</v>
      </c>
      <c r="F472" s="758"/>
      <c r="G472" s="602"/>
      <c r="H472" s="164" t="s">
        <v>12</v>
      </c>
      <c r="I472" s="616"/>
      <c r="J472" s="616"/>
      <c r="K472" s="92"/>
      <c r="L472" s="92">
        <f ca="1">IFERROR(__xludf.DUMMYFUNCTION("IMPORTRANGE(""https://docs.google.com/spreadsheets/d/1QqKyyYR6Q21VydFLVH3TRQUabQu_ym0Zz7PgGX0-kHA/edit?usp=sharing"",""แผน!FS85"")"),1161548)</f>
        <v>1161548</v>
      </c>
      <c r="M472" s="92">
        <f ca="1">L472+11360-316986</f>
        <v>855922</v>
      </c>
      <c r="N472" s="92">
        <f>N473+N474+N475+N476</f>
        <v>855922</v>
      </c>
      <c r="O472" s="92">
        <f t="shared" ca="1" si="78"/>
        <v>73.688043886262122</v>
      </c>
      <c r="P472" s="92">
        <f t="shared" ca="1" si="79"/>
        <v>100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826">
        <v>161485</v>
      </c>
      <c r="O473" s="497"/>
      <c r="P473" s="497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826">
        <v>493014</v>
      </c>
      <c r="O474" s="497"/>
      <c r="P474" s="497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826">
        <v>130000</v>
      </c>
      <c r="O475" s="497"/>
      <c r="P475" s="497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826">
        <v>71423</v>
      </c>
      <c r="O476" s="497"/>
      <c r="P476" s="497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IFERROR(__xludf.DUMMYFUNCTION("IMPORTRANGE(""https://docs.google.com/spreadsheets/d/1QqKyyYR6Q21VydFLVH3TRQUabQu_ym0Zz7PgGX0-kHA/edit?usp=sharing"",""แผน!FV85"")"),0)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43" t="s">
        <v>38</v>
      </c>
      <c r="E480" s="610"/>
      <c r="F480" s="760"/>
      <c r="G480" s="612"/>
      <c r="H480" s="761"/>
      <c r="I480" s="269"/>
      <c r="J480" s="269"/>
      <c r="K480" s="497"/>
      <c r="L480" s="497"/>
      <c r="M480" s="497"/>
      <c r="N480" s="497"/>
      <c r="O480" s="497"/>
      <c r="P480" s="497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206</v>
      </c>
      <c r="E481" s="617"/>
      <c r="F481" s="617"/>
      <c r="G481" s="761"/>
      <c r="H481" s="188"/>
      <c r="I481" s="269"/>
      <c r="J481" s="269"/>
      <c r="K481" s="497"/>
      <c r="L481" s="497"/>
      <c r="M481" s="497"/>
      <c r="N481" s="497"/>
      <c r="O481" s="497"/>
      <c r="P481" s="497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207</v>
      </c>
      <c r="F482" s="617"/>
      <c r="G482" s="761"/>
      <c r="H482" s="188"/>
      <c r="I482" s="269"/>
      <c r="J482" s="269"/>
      <c r="K482" s="497"/>
      <c r="L482" s="497"/>
      <c r="M482" s="497"/>
      <c r="N482" s="497"/>
      <c r="O482" s="497"/>
      <c r="P482" s="497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208</v>
      </c>
      <c r="G483" s="761"/>
      <c r="H483" s="622" t="s">
        <v>46</v>
      </c>
      <c r="I483" s="269">
        <f ca="1">IFERROR(__xludf.DUMMYFUNCTION("IMPORTRANGE(""https://docs.google.com/spreadsheets/d/1QqKyyYR6Q21VydFLVH3TRQUabQu_ym0Zz7PgGX0-kHA/edit?usp=sharing"",""แผน!FY85"")"),1170)</f>
        <v>1170</v>
      </c>
      <c r="J483" s="214">
        <v>1455</v>
      </c>
      <c r="K483" s="497">
        <f ca="1">IF(I483&gt;0,J483*100/I483,0)</f>
        <v>124.35897435897436</v>
      </c>
      <c r="L483" s="497"/>
      <c r="M483" s="497"/>
      <c r="N483" s="497"/>
      <c r="O483" s="497"/>
      <c r="P483" s="497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209</v>
      </c>
      <c r="G484" s="761"/>
      <c r="H484" s="622" t="s">
        <v>35</v>
      </c>
      <c r="I484" s="269"/>
      <c r="J484" s="214">
        <v>117</v>
      </c>
      <c r="K484" s="497"/>
      <c r="L484" s="497"/>
      <c r="M484" s="497"/>
      <c r="N484" s="497"/>
      <c r="O484" s="497"/>
      <c r="P484" s="497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210</v>
      </c>
      <c r="G485" s="761"/>
      <c r="H485" s="622" t="s">
        <v>35</v>
      </c>
      <c r="I485" s="269">
        <f ca="1">IFERROR(__xludf.DUMMYFUNCTION("IMPORTRANGE(""https://docs.google.com/spreadsheets/d/1QqKyyYR6Q21VydFLVH3TRQUabQu_ym0Zz7PgGX0-kHA/edit?usp=sharing"",""แผน!FZ85"")"),117)</f>
        <v>117</v>
      </c>
      <c r="J485" s="214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69"/>
      <c r="J486" s="269"/>
      <c r="K486" s="497"/>
      <c r="L486" s="497"/>
      <c r="M486" s="497"/>
      <c r="N486" s="497"/>
      <c r="O486" s="497"/>
      <c r="P486" s="497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208</v>
      </c>
      <c r="G487" s="761"/>
      <c r="H487" s="622" t="s">
        <v>46</v>
      </c>
      <c r="I487" s="269">
        <f ca="1">IFERROR(__xludf.DUMMYFUNCTION("IMPORTRANGE(""https://docs.google.com/spreadsheets/d/1QqKyyYR6Q21VydFLVH3TRQUabQu_ym0Zz7PgGX0-kHA/edit?usp=sharing"",""แผน!GA85"")"),130)</f>
        <v>130</v>
      </c>
      <c r="J487" s="214">
        <v>159</v>
      </c>
      <c r="K487" s="497">
        <f ca="1">IF(I487&gt;0,J487*100/I487,0)</f>
        <v>122.30769230769231</v>
      </c>
      <c r="L487" s="497"/>
      <c r="M487" s="497"/>
      <c r="N487" s="497"/>
      <c r="O487" s="497"/>
      <c r="P487" s="497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211</v>
      </c>
      <c r="G488" s="761"/>
      <c r="H488" s="622" t="s">
        <v>35</v>
      </c>
      <c r="I488" s="269"/>
      <c r="J488" s="214">
        <v>13</v>
      </c>
      <c r="K488" s="497"/>
      <c r="L488" s="497"/>
      <c r="M488" s="497"/>
      <c r="N488" s="497"/>
      <c r="O488" s="497"/>
      <c r="P488" s="497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212</v>
      </c>
      <c r="G489" s="761"/>
      <c r="H489" s="622" t="s">
        <v>35</v>
      </c>
      <c r="I489" s="269">
        <f ca="1">IFERROR(__xludf.DUMMYFUNCTION("IMPORTRANGE(""https://docs.google.com/spreadsheets/d/1QqKyyYR6Q21VydFLVH3TRQUabQu_ym0Zz7PgGX0-kHA/edit?usp=sharing"",""แผน!GB85"")"),13)</f>
        <v>13</v>
      </c>
      <c r="J489" s="214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69"/>
      <c r="J490" s="269"/>
      <c r="K490" s="497"/>
      <c r="L490" s="497"/>
      <c r="M490" s="497"/>
      <c r="N490" s="497"/>
      <c r="O490" s="497"/>
      <c r="P490" s="497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213</v>
      </c>
      <c r="G491" s="761"/>
      <c r="H491" s="622" t="s">
        <v>35</v>
      </c>
      <c r="I491" s="269"/>
      <c r="J491" s="214">
        <v>1</v>
      </c>
      <c r="K491" s="497"/>
      <c r="L491" s="497"/>
      <c r="M491" s="497"/>
      <c r="N491" s="497"/>
      <c r="O491" s="497"/>
      <c r="P491" s="497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214</v>
      </c>
      <c r="G492" s="761"/>
      <c r="H492" s="622" t="s">
        <v>35</v>
      </c>
      <c r="I492" s="269">
        <f ca="1">IFERROR(__xludf.DUMMYFUNCTION("IMPORTRANGE(""https://docs.google.com/spreadsheets/d/1QqKyyYR6Q21VydFLVH3TRQUabQu_ym0Zz7PgGX0-kHA/edit?usp=sharing"",""แผน!GC85"")"),1)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8"/>
      <c r="I493" s="269"/>
      <c r="J493" s="269"/>
      <c r="K493" s="497"/>
      <c r="L493" s="497"/>
      <c r="M493" s="497"/>
      <c r="N493" s="497"/>
      <c r="O493" s="497"/>
      <c r="P493" s="497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207</v>
      </c>
      <c r="F494" s="625"/>
      <c r="G494" s="761"/>
      <c r="H494" s="188"/>
      <c r="I494" s="269"/>
      <c r="J494" s="269"/>
      <c r="K494" s="497"/>
      <c r="L494" s="497"/>
      <c r="M494" s="497"/>
      <c r="N494" s="497"/>
      <c r="O494" s="497"/>
      <c r="P494" s="497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215</v>
      </c>
      <c r="G495" s="761"/>
      <c r="H495" s="622" t="s">
        <v>46</v>
      </c>
      <c r="I495" s="269">
        <f ca="1">IFERROR(__xludf.DUMMYFUNCTION("IMPORTRANGE(""https://docs.google.com/spreadsheets/d/1QqKyyYR6Q21VydFLVH3TRQUabQu_ym0Zz7PgGX0-kHA/edit?usp=sharing"",""แผน!FY85"")"),1170)</f>
        <v>1170</v>
      </c>
      <c r="J495" s="214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216</v>
      </c>
      <c r="G496" s="761"/>
      <c r="H496" s="622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8"/>
      <c r="I497" s="269"/>
      <c r="J497" s="269"/>
      <c r="K497" s="497"/>
      <c r="L497" s="497"/>
      <c r="M497" s="497"/>
      <c r="N497" s="497"/>
      <c r="O497" s="497"/>
      <c r="P497" s="497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217</v>
      </c>
      <c r="G498" s="761"/>
      <c r="H498" s="622" t="s">
        <v>46</v>
      </c>
      <c r="I498" s="269">
        <f ca="1">IFERROR(__xludf.DUMMYFUNCTION("IMPORTRANGE(""https://docs.google.com/spreadsheets/d/1QqKyyYR6Q21VydFLVH3TRQUabQu_ym0Zz7PgGX0-kHA/edit?usp=sharing"",""แผน!GA85"")"),130)</f>
        <v>130</v>
      </c>
      <c r="J498" s="214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218</v>
      </c>
      <c r="G499" s="761"/>
      <c r="H499" s="622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219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>J516</f>
        <v>0</v>
      </c>
      <c r="K500" s="633">
        <f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220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>J517</f>
        <v>0</v>
      </c>
      <c r="K501" s="642">
        <f>IF(I501&gt;0,J501*100/I501,0)</f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92" t="s">
        <v>17</v>
      </c>
      <c r="E502" s="888"/>
      <c r="F502" s="888"/>
      <c r="G502" s="602"/>
      <c r="H502" s="645" t="s">
        <v>12</v>
      </c>
      <c r="I502" s="616"/>
      <c r="J502" s="616"/>
      <c r="K502" s="92"/>
      <c r="L502" s="646">
        <f>L503+L504</f>
        <v>0</v>
      </c>
      <c r="M502" s="646">
        <f>M503+M504</f>
        <v>0</v>
      </c>
      <c r="N502" s="646">
        <f>N503+N504</f>
        <v>0</v>
      </c>
      <c r="O502" s="646">
        <f t="shared" ref="O502:O507" si="81">IF(L502&gt;0,N502*100/L502,0)</f>
        <v>0</v>
      </c>
      <c r="P502" s="646">
        <f t="shared" ref="P502:P507" si="82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184</v>
      </c>
      <c r="F503" s="758"/>
      <c r="G503" s="602"/>
      <c r="H503" s="164" t="s">
        <v>12</v>
      </c>
      <c r="I503" s="616"/>
      <c r="J503" s="616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185</v>
      </c>
      <c r="F504" s="758"/>
      <c r="G504" s="602"/>
      <c r="H504" s="164" t="s">
        <v>12</v>
      </c>
      <c r="I504" s="616"/>
      <c r="J504" s="616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184</v>
      </c>
      <c r="F506" s="758"/>
      <c r="G506" s="602"/>
      <c r="H506" s="164" t="s">
        <v>12</v>
      </c>
      <c r="I506" s="616"/>
      <c r="J506" s="616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185</v>
      </c>
      <c r="F507" s="758"/>
      <c r="G507" s="602"/>
      <c r="H507" s="164" t="s">
        <v>12</v>
      </c>
      <c r="I507" s="616"/>
      <c r="J507" s="616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186</v>
      </c>
      <c r="G508" s="602"/>
      <c r="H508" s="164" t="s">
        <v>12</v>
      </c>
      <c r="I508" s="616"/>
      <c r="J508" s="616"/>
      <c r="K508" s="92"/>
      <c r="L508" s="92"/>
      <c r="M508" s="92"/>
      <c r="N508" s="92">
        <v>0</v>
      </c>
      <c r="O508" s="92"/>
      <c r="P508" s="92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187</v>
      </c>
      <c r="G509" s="602"/>
      <c r="H509" s="164" t="s">
        <v>12</v>
      </c>
      <c r="I509" s="616"/>
      <c r="J509" s="616"/>
      <c r="K509" s="92"/>
      <c r="L509" s="92"/>
      <c r="M509" s="92"/>
      <c r="N509" s="92">
        <v>0</v>
      </c>
      <c r="O509" s="92"/>
      <c r="P509" s="92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188</v>
      </c>
      <c r="G510" s="602"/>
      <c r="H510" s="164" t="s">
        <v>12</v>
      </c>
      <c r="I510" s="616"/>
      <c r="J510" s="616"/>
      <c r="K510" s="92"/>
      <c r="L510" s="92"/>
      <c r="M510" s="92"/>
      <c r="N510" s="92">
        <v>0</v>
      </c>
      <c r="O510" s="92"/>
      <c r="P510" s="92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189</v>
      </c>
      <c r="G511" s="602"/>
      <c r="H511" s="164" t="s">
        <v>12</v>
      </c>
      <c r="I511" s="616"/>
      <c r="J511" s="616"/>
      <c r="K511" s="92"/>
      <c r="L511" s="92"/>
      <c r="M511" s="92"/>
      <c r="N511" s="92">
        <v>0</v>
      </c>
      <c r="O511" s="92"/>
      <c r="P511" s="92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42" t="s">
        <v>38</v>
      </c>
      <c r="E515" s="650"/>
      <c r="F515" s="650"/>
      <c r="G515" s="651"/>
      <c r="H515" s="365"/>
      <c r="I515" s="165"/>
      <c r="J515" s="165"/>
      <c r="K515" s="166"/>
      <c r="L515" s="166"/>
      <c r="M515" s="166"/>
      <c r="N515" s="166"/>
      <c r="O515" s="166"/>
      <c r="P515" s="166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221</v>
      </c>
      <c r="E516" s="719"/>
      <c r="F516" s="719"/>
      <c r="G516" s="365"/>
      <c r="H516" s="652" t="s">
        <v>109</v>
      </c>
      <c r="I516" s="616"/>
      <c r="J516" s="616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222</v>
      </c>
      <c r="E517" s="719"/>
      <c r="F517" s="719"/>
      <c r="G517" s="365"/>
      <c r="H517" s="653" t="s">
        <v>35</v>
      </c>
      <c r="I517" s="654"/>
      <c r="J517" s="654">
        <f>J518+J519</f>
        <v>0</v>
      </c>
      <c r="K517" s="655">
        <f>IF(I517&gt;0,J517*100/I517,0)</f>
        <v>0</v>
      </c>
      <c r="L517" s="166"/>
      <c r="M517" s="166"/>
      <c r="N517" s="166"/>
      <c r="O517" s="166"/>
      <c r="P517" s="166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223</v>
      </c>
      <c r="F518" s="719"/>
      <c r="G518" s="365"/>
      <c r="H518" s="369" t="s">
        <v>35</v>
      </c>
      <c r="I518" s="616"/>
      <c r="J518" s="616"/>
      <c r="K518" s="166"/>
      <c r="L518" s="166"/>
      <c r="M518" s="166"/>
      <c r="N518" s="166"/>
      <c r="O518" s="166"/>
      <c r="P518" s="166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224</v>
      </c>
      <c r="F519" s="719"/>
      <c r="G519" s="365"/>
      <c r="H519" s="652" t="s">
        <v>35</v>
      </c>
      <c r="I519" s="616"/>
      <c r="J519" s="616"/>
      <c r="K519" s="166"/>
      <c r="L519" s="166"/>
      <c r="M519" s="166"/>
      <c r="N519" s="166"/>
      <c r="O519" s="166"/>
      <c r="P519" s="166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225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226</v>
      </c>
      <c r="C522" s="672"/>
      <c r="D522" s="672"/>
      <c r="E522" s="672"/>
      <c r="F522" s="672"/>
      <c r="G522" s="673"/>
      <c r="H522" s="674" t="s">
        <v>35</v>
      </c>
      <c r="I522" s="707">
        <f ca="1">I537</f>
        <v>0</v>
      </c>
      <c r="J522" s="707">
        <f ca="1">J537</f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87" t="s">
        <v>17</v>
      </c>
      <c r="E523" s="888"/>
      <c r="F523" s="888"/>
      <c r="G523" s="188"/>
      <c r="H523" s="597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184</v>
      </c>
      <c r="F524" s="758"/>
      <c r="G524" s="602"/>
      <c r="H524" s="164" t="s">
        <v>12</v>
      </c>
      <c r="I524" s="616"/>
      <c r="J524" s="616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185</v>
      </c>
      <c r="F525" s="758"/>
      <c r="G525" s="602"/>
      <c r="H525" s="164" t="s">
        <v>12</v>
      </c>
      <c r="I525" s="616"/>
      <c r="J525" s="616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184</v>
      </c>
      <c r="F527" s="758"/>
      <c r="G527" s="602"/>
      <c r="H527" s="164" t="s">
        <v>12</v>
      </c>
      <c r="I527" s="616"/>
      <c r="J527" s="616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185</v>
      </c>
      <c r="F528" s="758"/>
      <c r="G528" s="602"/>
      <c r="H528" s="164" t="s">
        <v>12</v>
      </c>
      <c r="I528" s="616"/>
      <c r="J528" s="616"/>
      <c r="K528" s="92"/>
      <c r="L528" s="92">
        <f ca="1">IFERROR(__xludf.DUMMYFUNCTION("IMPORTRANGE(""https://docs.google.com/spreadsheets/d/1QqKyyYR6Q21VydFLVH3TRQUabQu_ym0Zz7PgGX0-kHA/edit?usp=sharing"",""แผน!GQ85"")"),0)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826">
        <v>0</v>
      </c>
      <c r="O529" s="497"/>
      <c r="P529" s="497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826">
        <v>0</v>
      </c>
      <c r="O530" s="497"/>
      <c r="P530" s="497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826">
        <v>0</v>
      </c>
      <c r="O531" s="497"/>
      <c r="P531" s="497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826">
        <v>0</v>
      </c>
      <c r="O532" s="497"/>
      <c r="P532" s="497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IFERROR(__xludf.DUMMYFUNCTION("IMPORTRANGE(""https://docs.google.com/spreadsheets/d/1QqKyyYR6Q21VydFLVH3TRQUabQu_ym0Zz7PgGX0-kHA/edit?usp=sharing"",""แผน!GT85"")"),0)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41" t="s">
        <v>38</v>
      </c>
      <c r="E536" s="760"/>
      <c r="F536" s="760"/>
      <c r="G536" s="612"/>
      <c r="H536" s="761"/>
      <c r="I536" s="183"/>
      <c r="J536" s="183"/>
      <c r="K536" s="162"/>
      <c r="L536" s="162"/>
      <c r="M536" s="162"/>
      <c r="N536" s="162"/>
      <c r="O536" s="162"/>
      <c r="P536" s="162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227</v>
      </c>
      <c r="E537" s="762"/>
      <c r="F537" s="762"/>
      <c r="G537" s="188"/>
      <c r="H537" s="622" t="s">
        <v>35</v>
      </c>
      <c r="I537" s="680">
        <f ca="1">IFERROR(__xludf.DUMMYFUNCTION("IMPORTRANGE(""https://docs.google.com/spreadsheets/d/1QqKyyYR6Q21VydFLVH3TRQUabQu_ym0Zz7PgGX0-kHA/edit?usp=sharing"",""แผน!GU85"")"),0)</f>
        <v>0</v>
      </c>
      <c r="J537" s="680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228</v>
      </c>
      <c r="F538" s="762"/>
      <c r="G538" s="188"/>
      <c r="H538" s="622" t="s">
        <v>35</v>
      </c>
      <c r="I538" s="269">
        <f ca="1">IFERROR(__xludf.DUMMYFUNCTION("IMPORTRANGE(""https://docs.google.com/spreadsheets/d/1QqKyyYR6Q21VydFLVH3TRQUabQu_ym0Zz7PgGX0-kHA/edit?usp=sharing"",""แผน!GV85"")"),0)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229</v>
      </c>
      <c r="F539" s="762"/>
      <c r="G539" s="188"/>
      <c r="H539" s="622" t="s">
        <v>35</v>
      </c>
      <c r="I539" s="269">
        <f ca="1">IFERROR(__xludf.DUMMYFUNCTION("IMPORTRANGE(""https://docs.google.com/spreadsheets/d/1QqKyyYR6Q21VydFLVH3TRQUabQu_ym0Zz7PgGX0-kHA/edit?usp=sharing"",""แผน!GW85"")"),0)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230</v>
      </c>
      <c r="F540" s="762"/>
      <c r="G540" s="188"/>
      <c r="H540" s="622" t="s">
        <v>35</v>
      </c>
      <c r="I540" s="269">
        <f ca="1">IFERROR(__xludf.DUMMYFUNCTION("IMPORTRANGE(""https://docs.google.com/spreadsheets/d/1QqKyyYR6Q21VydFLVH3TRQUabQu_ym0Zz7PgGX0-kHA/edit?usp=sharing"",""แผน!GX85"")"),0)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231</v>
      </c>
      <c r="F541" s="762"/>
      <c r="G541" s="188"/>
      <c r="H541" s="622" t="s">
        <v>35</v>
      </c>
      <c r="I541" s="269">
        <f ca="1">IFERROR(__xludf.DUMMYFUNCTION("IMPORTRANGE(""https://docs.google.com/spreadsheets/d/1QqKyyYR6Q21VydFLVH3TRQUabQu_ym0Zz7PgGX0-kHA/edit?usp=sharing"",""แผน!GY85"")"),0)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8"/>
      <c r="H542" s="622" t="s">
        <v>35</v>
      </c>
      <c r="I542" s="269">
        <f ca="1">IFERROR(__xludf.DUMMYFUNCTION("IMPORTRANGE(""https://docs.google.com/spreadsheets/d/1QqKyyYR6Q21VydFLVH3TRQUabQu_ym0Zz7PgGX0-kHA/edit?usp=sharing"",""แผน!GZ85"")"),0)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232</v>
      </c>
      <c r="C543" s="666"/>
      <c r="D543" s="666"/>
      <c r="E543" s="666"/>
      <c r="F543" s="666"/>
      <c r="G543" s="667"/>
      <c r="H543" s="685" t="s">
        <v>46</v>
      </c>
      <c r="I543" s="686">
        <f ca="1">I559</f>
        <v>0</v>
      </c>
      <c r="J543" s="686">
        <f>J559</f>
        <v>0</v>
      </c>
      <c r="K543" s="687">
        <f t="shared" ca="1" si="87"/>
        <v>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911" t="s">
        <v>17</v>
      </c>
      <c r="E544" s="890"/>
      <c r="F544" s="890"/>
      <c r="G544" s="690"/>
      <c r="H544" s="274" t="s">
        <v>12</v>
      </c>
      <c r="I544" s="420"/>
      <c r="J544" s="420"/>
      <c r="K544" s="153"/>
      <c r="L544" s="154">
        <f ca="1">L545+L546</f>
        <v>218100</v>
      </c>
      <c r="M544" s="154">
        <f ca="1">M545+M546</f>
        <v>210516</v>
      </c>
      <c r="N544" s="154">
        <f>N545+N546</f>
        <v>210516</v>
      </c>
      <c r="O544" s="154">
        <f t="shared" ref="O544:O549" ca="1" si="88">IF(L544&gt;0,N544*100/L544,0)</f>
        <v>96.522696011004129</v>
      </c>
      <c r="P544" s="154">
        <f t="shared" ref="P544:P549" ca="1" si="89">IF(M544&gt;0,N544*100/M544,0)</f>
        <v>100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184</v>
      </c>
      <c r="F545" s="758"/>
      <c r="G545" s="602"/>
      <c r="H545" s="164" t="s">
        <v>12</v>
      </c>
      <c r="I545" s="616"/>
      <c r="J545" s="616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185</v>
      </c>
      <c r="F546" s="758"/>
      <c r="G546" s="602"/>
      <c r="H546" s="164" t="s">
        <v>12</v>
      </c>
      <c r="I546" s="616"/>
      <c r="J546" s="616"/>
      <c r="K546" s="92"/>
      <c r="L546" s="92">
        <f ca="1">L549+L557</f>
        <v>218100</v>
      </c>
      <c r="M546" s="92">
        <f ca="1">M549+M556</f>
        <v>210516</v>
      </c>
      <c r="N546" s="92">
        <f>N549+N556</f>
        <v>210516</v>
      </c>
      <c r="O546" s="92">
        <f t="shared" ca="1" si="88"/>
        <v>96.522696011004129</v>
      </c>
      <c r="P546" s="92">
        <f t="shared" ca="1" si="89"/>
        <v>100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8"/>
      <c r="H547" s="160" t="s">
        <v>12</v>
      </c>
      <c r="I547" s="183"/>
      <c r="J547" s="183"/>
      <c r="K547" s="162"/>
      <c r="L547" s="497">
        <f ca="1">L548+L549</f>
        <v>218100</v>
      </c>
      <c r="M547" s="497">
        <f ca="1">M548+M549</f>
        <v>210516</v>
      </c>
      <c r="N547" s="497">
        <f>N548+N549</f>
        <v>210516</v>
      </c>
      <c r="O547" s="497">
        <f t="shared" ca="1" si="88"/>
        <v>96.522696011004129</v>
      </c>
      <c r="P547" s="497">
        <f t="shared" ca="1" si="89"/>
        <v>100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184</v>
      </c>
      <c r="F548" s="758"/>
      <c r="G548" s="602"/>
      <c r="H548" s="164" t="s">
        <v>12</v>
      </c>
      <c r="I548" s="616"/>
      <c r="J548" s="616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185</v>
      </c>
      <c r="F549" s="758"/>
      <c r="G549" s="602"/>
      <c r="H549" s="164" t="s">
        <v>12</v>
      </c>
      <c r="I549" s="616"/>
      <c r="J549" s="616"/>
      <c r="K549" s="92"/>
      <c r="L549" s="92">
        <f ca="1">IFERROR(__xludf.DUMMYFUNCTION("IMPORTRANGE(""https://docs.google.com/spreadsheets/d/1QqKyyYR6Q21VydFLVH3TRQUabQu_ym0Zz7PgGX0-kHA/edit?usp=sharing"",""แผน!HB85"")"),218100)</f>
        <v>218100</v>
      </c>
      <c r="M549" s="92">
        <f ca="1">L549-7584</f>
        <v>210516</v>
      </c>
      <c r="N549" s="92">
        <f>N550+N551+N552+N553+N554</f>
        <v>210516</v>
      </c>
      <c r="O549" s="92">
        <f t="shared" ca="1" si="88"/>
        <v>96.522696011004129</v>
      </c>
      <c r="P549" s="92">
        <f t="shared" ca="1" si="89"/>
        <v>100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826">
        <v>0</v>
      </c>
      <c r="O550" s="497"/>
      <c r="P550" s="497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826">
        <v>0</v>
      </c>
      <c r="O551" s="497"/>
      <c r="P551" s="497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826">
        <v>0</v>
      </c>
      <c r="O552" s="497"/>
      <c r="P552" s="497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826">
        <f>208600-7584</f>
        <v>201016</v>
      </c>
      <c r="O553" s="497"/>
      <c r="P553" s="497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826">
        <v>9500</v>
      </c>
      <c r="O554" s="497"/>
      <c r="P554" s="497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IFERROR(__xludf.DUMMYFUNCTION("IMPORTRANGE(""https://docs.google.com/spreadsheets/d/1QqKyyYR6Q21VydFLVH3TRQUabQu_ym0Zz7PgGX0-kHA/edit?usp=sharing"",""แผน!HF85"")"),0)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 hidden="1">
      <c r="A558" s="607"/>
      <c r="B558" s="617"/>
      <c r="C558" s="574" t="s">
        <v>16</v>
      </c>
      <c r="D558" s="841" t="s">
        <v>38</v>
      </c>
      <c r="E558" s="760"/>
      <c r="F558" s="760"/>
      <c r="G558" s="612"/>
      <c r="H558" s="761"/>
      <c r="I558" s="183"/>
      <c r="J558" s="183"/>
      <c r="K558" s="162"/>
      <c r="L558" s="162"/>
      <c r="M558" s="162"/>
      <c r="N558" s="162"/>
      <c r="O558" s="162"/>
      <c r="P558" s="162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 hidden="1">
      <c r="A559" s="691"/>
      <c r="B559" s="692" t="s">
        <v>234</v>
      </c>
      <c r="C559" s="693"/>
      <c r="D559" s="693"/>
      <c r="E559" s="672"/>
      <c r="F559" s="672"/>
      <c r="G559" s="673"/>
      <c r="H559" s="694" t="s">
        <v>46</v>
      </c>
      <c r="I559" s="707">
        <f ca="1">I576</f>
        <v>0</v>
      </c>
      <c r="J559" s="707">
        <f>J576</f>
        <v>0</v>
      </c>
      <c r="K559" s="676">
        <f ca="1">IF(I559&gt;0,J559*100/I559,0)</f>
        <v>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 hidden="1">
      <c r="A560" s="607"/>
      <c r="B560" s="617"/>
      <c r="C560" s="624" t="s">
        <v>235</v>
      </c>
      <c r="D560" s="617"/>
      <c r="E560" s="625"/>
      <c r="F560" s="625"/>
      <c r="G560" s="761"/>
      <c r="H560" s="766" t="s">
        <v>46</v>
      </c>
      <c r="I560" s="192">
        <f ca="1">IFERROR(__xludf.DUMMYFUNCTION("IMPORTRANGE(""https://docs.google.com/spreadsheets/d/1QqKyyYR6Q21VydFLVH3TRQUabQu_ym0Zz7PgGX0-kHA/edit?usp=sharing"",""แผน!HH85"")"),0)</f>
        <v>0</v>
      </c>
      <c r="J560" s="192">
        <f>J562+J564+J566</f>
        <v>0</v>
      </c>
      <c r="K560" s="411">
        <f ca="1">IF(I560&gt;0,J560*100/I560,0)</f>
        <v>0</v>
      </c>
      <c r="L560" s="162"/>
      <c r="M560" s="162"/>
      <c r="N560" s="162"/>
      <c r="O560" s="162"/>
      <c r="P560" s="162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 hidden="1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2">
        <f ca="1">IFERROR(__xludf.DUMMYFUNCTION("IMPORTRANGE(""https://docs.google.com/spreadsheets/d/1QqKyyYR6Q21VydFLVH3TRQUabQu_ym0Zz7PgGX0-kHA/edit?usp=sharing"",""แผน!HG85"")"),0)</f>
        <v>0</v>
      </c>
      <c r="J561" s="192">
        <f>J563+J565+J567</f>
        <v>0</v>
      </c>
      <c r="K561" s="411">
        <f ca="1">IF(I561&gt;0,J561*100/I561,0)</f>
        <v>0</v>
      </c>
      <c r="L561" s="162"/>
      <c r="M561" s="162"/>
      <c r="N561" s="162"/>
      <c r="O561" s="162"/>
      <c r="P561" s="162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 hidden="1">
      <c r="A562" s="607"/>
      <c r="B562" s="617"/>
      <c r="C562" s="617"/>
      <c r="D562" s="625" t="s">
        <v>236</v>
      </c>
      <c r="E562" s="625"/>
      <c r="F562" s="625"/>
      <c r="G562" s="761"/>
      <c r="H562" s="763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 hidden="1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 hidden="1">
      <c r="A564" s="607"/>
      <c r="B564" s="617"/>
      <c r="C564" s="617"/>
      <c r="D564" s="625" t="s">
        <v>237</v>
      </c>
      <c r="E564" s="625"/>
      <c r="F564" s="625"/>
      <c r="G564" s="761"/>
      <c r="H564" s="763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 hidden="1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 hidden="1">
      <c r="A566" s="607"/>
      <c r="B566" s="617"/>
      <c r="C566" s="617"/>
      <c r="D566" s="625" t="s">
        <v>238</v>
      </c>
      <c r="E566" s="625"/>
      <c r="F566" s="625"/>
      <c r="G566" s="761"/>
      <c r="H566" s="763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 hidden="1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 hidden="1">
      <c r="A568" s="607"/>
      <c r="B568" s="617"/>
      <c r="C568" s="624" t="s">
        <v>239</v>
      </c>
      <c r="D568" s="625"/>
      <c r="E568" s="625"/>
      <c r="F568" s="625"/>
      <c r="G568" s="761"/>
      <c r="H568" s="766" t="s">
        <v>46</v>
      </c>
      <c r="I568" s="192">
        <f ca="1">IFERROR(__xludf.DUMMYFUNCTION("IMPORTRANGE(""https://docs.google.com/spreadsheets/d/1QqKyyYR6Q21VydFLVH3TRQUabQu_ym0Zz7PgGX0-kHA/edit?usp=sharing"",""แผน!HH85"")"),0)</f>
        <v>0</v>
      </c>
      <c r="J568" s="680">
        <f>J570+J572+J574</f>
        <v>0</v>
      </c>
      <c r="K568" s="411">
        <f ca="1">IF(I568&gt;0,J568*100/I568,0)</f>
        <v>0</v>
      </c>
      <c r="L568" s="162"/>
      <c r="M568" s="162"/>
      <c r="N568" s="162"/>
      <c r="O568" s="162"/>
      <c r="P568" s="162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 hidden="1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2">
        <f ca="1">IFERROR(__xludf.DUMMYFUNCTION("IMPORTRANGE(""https://docs.google.com/spreadsheets/d/1QqKyyYR6Q21VydFLVH3TRQUabQu_ym0Zz7PgGX0-kHA/edit?usp=sharing"",""แผน!HG85"")"),0)</f>
        <v>0</v>
      </c>
      <c r="J569" s="680">
        <f>J571+J573+J575</f>
        <v>0</v>
      </c>
      <c r="K569" s="411">
        <f ca="1">IF(I569&gt;0,J569*100/I569,0)</f>
        <v>0</v>
      </c>
      <c r="L569" s="162"/>
      <c r="M569" s="162"/>
      <c r="N569" s="162"/>
      <c r="O569" s="162"/>
      <c r="P569" s="162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 hidden="1">
      <c r="A570" s="607"/>
      <c r="B570" s="617"/>
      <c r="C570" s="617"/>
      <c r="D570" s="625" t="s">
        <v>240</v>
      </c>
      <c r="E570" s="617"/>
      <c r="F570" s="625"/>
      <c r="G570" s="761"/>
      <c r="H570" s="763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 hidden="1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 hidden="1">
      <c r="A572" s="607"/>
      <c r="B572" s="617"/>
      <c r="C572" s="617"/>
      <c r="D572" s="625" t="s">
        <v>241</v>
      </c>
      <c r="E572" s="625"/>
      <c r="F572" s="625"/>
      <c r="G572" s="761"/>
      <c r="H572" s="763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 hidden="1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 hidden="1">
      <c r="A574" s="607"/>
      <c r="B574" s="617"/>
      <c r="C574" s="617"/>
      <c r="D574" s="625" t="s">
        <v>242</v>
      </c>
      <c r="E574" s="625"/>
      <c r="F574" s="625"/>
      <c r="G574" s="761"/>
      <c r="H574" s="763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 hidden="1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 hidden="1">
      <c r="A576" s="607"/>
      <c r="B576" s="617"/>
      <c r="C576" s="624" t="s">
        <v>243</v>
      </c>
      <c r="D576" s="617"/>
      <c r="E576" s="617"/>
      <c r="F576" s="625"/>
      <c r="G576" s="761"/>
      <c r="H576" s="766" t="s">
        <v>46</v>
      </c>
      <c r="I576" s="192">
        <f ca="1">IFERROR(__xludf.DUMMYFUNCTION("IMPORTRANGE(""https://docs.google.com/spreadsheets/d/1QqKyyYR6Q21VydFLVH3TRQUabQu_ym0Zz7PgGX0-kHA/edit?usp=sharing"",""แผน!HH85"")"),0)</f>
        <v>0</v>
      </c>
      <c r="J576" s="680">
        <f>J578+J580+J582+J588+J590</f>
        <v>0</v>
      </c>
      <c r="K576" s="411">
        <f ca="1">IF(I576&gt;0,J576*100/I576,0)</f>
        <v>0</v>
      </c>
      <c r="L576" s="162"/>
      <c r="M576" s="162"/>
      <c r="N576" s="162"/>
      <c r="O576" s="162"/>
      <c r="P576" s="162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 hidden="1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2">
        <f ca="1">IFERROR(__xludf.DUMMYFUNCTION("IMPORTRANGE(""https://docs.google.com/spreadsheets/d/1QqKyyYR6Q21VydFLVH3TRQUabQu_ym0Zz7PgGX0-kHA/edit?usp=sharing"",""แผน!HG85"")"),0)</f>
        <v>0</v>
      </c>
      <c r="J577" s="680">
        <f>J579+J581+J583+J589+J591</f>
        <v>0</v>
      </c>
      <c r="K577" s="411">
        <f ca="1">IF(I577&gt;0,J577*100/I577,0)</f>
        <v>0</v>
      </c>
      <c r="L577" s="162"/>
      <c r="M577" s="162"/>
      <c r="N577" s="162"/>
      <c r="O577" s="162"/>
      <c r="P577" s="162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 hidden="1">
      <c r="A578" s="607"/>
      <c r="B578" s="617"/>
      <c r="C578" s="617"/>
      <c r="D578" s="625" t="s">
        <v>244</v>
      </c>
      <c r="E578" s="625"/>
      <c r="F578" s="625"/>
      <c r="G578" s="761"/>
      <c r="H578" s="763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 hidden="1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 hidden="1">
      <c r="A580" s="607"/>
      <c r="B580" s="617"/>
      <c r="C580" s="617"/>
      <c r="D580" s="625" t="s">
        <v>245</v>
      </c>
      <c r="E580" s="625"/>
      <c r="F580" s="625"/>
      <c r="G580" s="761"/>
      <c r="H580" s="763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 hidden="1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 hidden="1">
      <c r="A582" s="607"/>
      <c r="B582" s="617"/>
      <c r="C582" s="617"/>
      <c r="D582" s="625" t="s">
        <v>246</v>
      </c>
      <c r="E582" s="625"/>
      <c r="F582" s="625"/>
      <c r="G582" s="761"/>
      <c r="H582" s="763" t="s">
        <v>46</v>
      </c>
      <c r="I582" s="183"/>
      <c r="J582" s="680">
        <f>J584+J586</f>
        <v>0</v>
      </c>
      <c r="K582" s="411"/>
      <c r="L582" s="162"/>
      <c r="M582" s="162"/>
      <c r="N582" s="162"/>
      <c r="O582" s="162"/>
      <c r="P582" s="162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 hidden="1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3"/>
      <c r="J583" s="680">
        <f>J585+J587</f>
        <v>0</v>
      </c>
      <c r="K583" s="411"/>
      <c r="L583" s="162"/>
      <c r="M583" s="162"/>
      <c r="N583" s="162"/>
      <c r="O583" s="162"/>
      <c r="P583" s="162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 hidden="1">
      <c r="A584" s="607"/>
      <c r="B584" s="617"/>
      <c r="C584" s="617"/>
      <c r="D584" s="617"/>
      <c r="E584" s="625" t="s">
        <v>247</v>
      </c>
      <c r="F584" s="625"/>
      <c r="G584" s="761"/>
      <c r="H584" s="763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 hidden="1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 hidden="1">
      <c r="A586" s="607"/>
      <c r="B586" s="617"/>
      <c r="C586" s="617"/>
      <c r="D586" s="617"/>
      <c r="E586" s="625" t="s">
        <v>248</v>
      </c>
      <c r="F586" s="625"/>
      <c r="G586" s="761"/>
      <c r="H586" s="763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 hidden="1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 hidden="1">
      <c r="A588" s="607"/>
      <c r="B588" s="617"/>
      <c r="C588" s="617"/>
      <c r="D588" s="625" t="s">
        <v>249</v>
      </c>
      <c r="E588" s="625"/>
      <c r="F588" s="625"/>
      <c r="G588" s="761"/>
      <c r="H588" s="763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 hidden="1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 hidden="1">
      <c r="A590" s="607"/>
      <c r="B590" s="617"/>
      <c r="C590" s="617"/>
      <c r="D590" s="625" t="s">
        <v>250</v>
      </c>
      <c r="E590" s="625"/>
      <c r="F590" s="625"/>
      <c r="G590" s="761"/>
      <c r="H590" s="763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 hidden="1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251</v>
      </c>
      <c r="C592" s="693"/>
      <c r="D592" s="693"/>
      <c r="E592" s="672"/>
      <c r="F592" s="672"/>
      <c r="G592" s="673"/>
      <c r="H592" s="694" t="s">
        <v>46</v>
      </c>
      <c r="I592" s="702">
        <f ca="1">I593</f>
        <v>5413.65</v>
      </c>
      <c r="J592" s="707">
        <f>J593</f>
        <v>5413</v>
      </c>
      <c r="K592" s="676">
        <f ca="1">IF(I592&gt;0,J592*100/I592,0)</f>
        <v>99.987993313199055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252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IFERROR(__xludf.DUMMYFUNCTION("IMPORTRANGE(""https://docs.google.com/spreadsheets/d/1QqKyyYR6Q21VydFLVH3TRQUabQu_ym0Zz7PgGX0-kHA/edit?usp=sharing"",""แผน!HJ85"")"),5413.65)</f>
        <v>5413.65</v>
      </c>
      <c r="J593" s="192">
        <f>J595+J603+J609</f>
        <v>5413</v>
      </c>
      <c r="K593" s="411">
        <f ca="1">IF(I593&gt;0,J593*100/I593,0)</f>
        <v>99.987993313199055</v>
      </c>
      <c r="L593" s="162"/>
      <c r="M593" s="162"/>
      <c r="N593" s="162"/>
      <c r="O593" s="162"/>
      <c r="P593" s="162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2">
        <f ca="1">IFERROR(__xludf.DUMMYFUNCTION("IMPORTRANGE(""https://docs.google.com/spreadsheets/d/1QqKyyYR6Q21VydFLVH3TRQUabQu_ym0Zz7PgGX0-kHA/edit?usp=sharing"",""แผน!HI85"")"),507)</f>
        <v>507</v>
      </c>
      <c r="J594" s="192">
        <f>J596+J604+J610</f>
        <v>507</v>
      </c>
      <c r="K594" s="411">
        <f ca="1">IF(I594&gt;0,J594*100/I594,0)</f>
        <v>100</v>
      </c>
      <c r="L594" s="162"/>
      <c r="M594" s="162"/>
      <c r="N594" s="162"/>
      <c r="O594" s="162"/>
      <c r="P594" s="162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253</v>
      </c>
      <c r="D595" s="617"/>
      <c r="E595" s="617"/>
      <c r="F595" s="625"/>
      <c r="G595" s="761"/>
      <c r="H595" s="763" t="s">
        <v>46</v>
      </c>
      <c r="I595" s="183"/>
      <c r="J595" s="183">
        <f>J597+J599</f>
        <v>0</v>
      </c>
      <c r="K595" s="162"/>
      <c r="L595" s="162"/>
      <c r="M595" s="162"/>
      <c r="N595" s="162"/>
      <c r="O595" s="162"/>
      <c r="P595" s="162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3"/>
      <c r="J596" s="183">
        <f>J598+J600</f>
        <v>0</v>
      </c>
      <c r="K596" s="162"/>
      <c r="L596" s="162"/>
      <c r="M596" s="162"/>
      <c r="N596" s="162"/>
      <c r="O596" s="162"/>
      <c r="P596" s="162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254</v>
      </c>
      <c r="E597" s="625"/>
      <c r="F597" s="625"/>
      <c r="G597" s="761"/>
      <c r="H597" s="763" t="s">
        <v>46</v>
      </c>
      <c r="I597" s="183"/>
      <c r="J597" s="214">
        <v>0</v>
      </c>
      <c r="K597" s="162"/>
      <c r="L597" s="162"/>
      <c r="M597" s="162"/>
      <c r="N597" s="162"/>
      <c r="O597" s="162"/>
      <c r="P597" s="162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69"/>
      <c r="J598" s="214">
        <v>0</v>
      </c>
      <c r="K598" s="162"/>
      <c r="L598" s="162"/>
      <c r="M598" s="162"/>
      <c r="N598" s="162"/>
      <c r="O598" s="162"/>
      <c r="P598" s="162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255</v>
      </c>
      <c r="E599" s="625"/>
      <c r="F599" s="625"/>
      <c r="G599" s="761"/>
      <c r="H599" s="763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256</v>
      </c>
      <c r="E601" s="625"/>
      <c r="F601" s="625"/>
      <c r="G601" s="761"/>
      <c r="H601" s="763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257</v>
      </c>
      <c r="D603" s="617"/>
      <c r="E603" s="617"/>
      <c r="F603" s="625"/>
      <c r="G603" s="761"/>
      <c r="H603" s="763" t="s">
        <v>46</v>
      </c>
      <c r="I603" s="269"/>
      <c r="J603" s="269">
        <f>J605+J607</f>
        <v>2931</v>
      </c>
      <c r="K603" s="162"/>
      <c r="L603" s="162"/>
      <c r="M603" s="162"/>
      <c r="N603" s="162"/>
      <c r="O603" s="162"/>
      <c r="P603" s="162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69"/>
      <c r="J604" s="269">
        <f>J606+J608</f>
        <v>315</v>
      </c>
      <c r="K604" s="162"/>
      <c r="L604" s="162"/>
      <c r="M604" s="162"/>
      <c r="N604" s="162"/>
      <c r="O604" s="162"/>
      <c r="P604" s="162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258</v>
      </c>
      <c r="E605" s="625"/>
      <c r="F605" s="625"/>
      <c r="G605" s="761"/>
      <c r="H605" s="763" t="s">
        <v>46</v>
      </c>
      <c r="I605" s="269"/>
      <c r="J605" s="214">
        <v>2344</v>
      </c>
      <c r="K605" s="162"/>
      <c r="L605" s="162"/>
      <c r="M605" s="162"/>
      <c r="N605" s="162"/>
      <c r="O605" s="162"/>
      <c r="P605" s="162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69"/>
      <c r="J606" s="214">
        <v>258</v>
      </c>
      <c r="K606" s="162"/>
      <c r="L606" s="162"/>
      <c r="M606" s="162"/>
      <c r="N606" s="162"/>
      <c r="O606" s="162"/>
      <c r="P606" s="162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259</v>
      </c>
      <c r="E607" s="617"/>
      <c r="F607" s="625"/>
      <c r="G607" s="761"/>
      <c r="H607" s="763" t="s">
        <v>46</v>
      </c>
      <c r="I607" s="269"/>
      <c r="J607" s="214">
        <v>587</v>
      </c>
      <c r="K607" s="162"/>
      <c r="L607" s="162"/>
      <c r="M607" s="162"/>
      <c r="N607" s="162"/>
      <c r="O607" s="162"/>
      <c r="P607" s="162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69"/>
      <c r="J608" s="214">
        <v>57</v>
      </c>
      <c r="K608" s="162"/>
      <c r="L608" s="162"/>
      <c r="M608" s="162"/>
      <c r="N608" s="162"/>
      <c r="O608" s="162"/>
      <c r="P608" s="162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260</v>
      </c>
      <c r="D609" s="617"/>
      <c r="E609" s="617"/>
      <c r="F609" s="625"/>
      <c r="G609" s="761"/>
      <c r="H609" s="763" t="s">
        <v>46</v>
      </c>
      <c r="I609" s="269"/>
      <c r="J609" s="214">
        <v>2482</v>
      </c>
      <c r="K609" s="162"/>
      <c r="L609" s="162"/>
      <c r="M609" s="162"/>
      <c r="N609" s="162"/>
      <c r="O609" s="162"/>
      <c r="P609" s="162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69"/>
      <c r="J610" s="214">
        <v>192</v>
      </c>
      <c r="K610" s="162"/>
      <c r="L610" s="162"/>
      <c r="M610" s="162"/>
      <c r="N610" s="162"/>
      <c r="O610" s="162"/>
      <c r="P610" s="162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261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262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>J614+J616</f>
        <v>0</v>
      </c>
      <c r="K612" s="716">
        <f>IF(I612&gt;0,J612*100/I612,0)</f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263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>J615+J617</f>
        <v>0</v>
      </c>
      <c r="K613" s="716">
        <f>IF(I613&gt;0,J613*100/I613,0)</f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264</v>
      </c>
      <c r="E614" s="615"/>
      <c r="F614" s="719"/>
      <c r="G614" s="365"/>
      <c r="H614" s="369" t="s">
        <v>46</v>
      </c>
      <c r="I614" s="616"/>
      <c r="J614" s="616">
        <v>0</v>
      </c>
      <c r="K614" s="166"/>
      <c r="L614" s="166"/>
      <c r="M614" s="166"/>
      <c r="N614" s="166"/>
      <c r="O614" s="166"/>
      <c r="P614" s="166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5"/>
      <c r="H615" s="369" t="s">
        <v>34</v>
      </c>
      <c r="I615" s="616"/>
      <c r="J615" s="616">
        <v>0</v>
      </c>
      <c r="K615" s="166"/>
      <c r="L615" s="166"/>
      <c r="M615" s="166"/>
      <c r="N615" s="166"/>
      <c r="O615" s="166"/>
      <c r="P615" s="166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264</v>
      </c>
      <c r="E616" s="719"/>
      <c r="F616" s="719"/>
      <c r="G616" s="365"/>
      <c r="H616" s="369" t="s">
        <v>46</v>
      </c>
      <c r="I616" s="616"/>
      <c r="J616" s="616">
        <v>0</v>
      </c>
      <c r="K616" s="166"/>
      <c r="L616" s="166"/>
      <c r="M616" s="166"/>
      <c r="N616" s="166"/>
      <c r="O616" s="166"/>
      <c r="P616" s="166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5"/>
      <c r="H617" s="369" t="s">
        <v>34</v>
      </c>
      <c r="I617" s="616"/>
      <c r="J617" s="616">
        <v>0</v>
      </c>
      <c r="K617" s="166"/>
      <c r="L617" s="166"/>
      <c r="M617" s="166"/>
      <c r="N617" s="166"/>
      <c r="O617" s="166"/>
      <c r="P617" s="166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265</v>
      </c>
      <c r="E618" s="719"/>
      <c r="F618" s="719"/>
      <c r="G618" s="365"/>
      <c r="H618" s="369" t="s">
        <v>46</v>
      </c>
      <c r="I618" s="616"/>
      <c r="J618" s="616">
        <v>0</v>
      </c>
      <c r="K618" s="166"/>
      <c r="L618" s="166"/>
      <c r="M618" s="166"/>
      <c r="N618" s="166"/>
      <c r="O618" s="166"/>
      <c r="P618" s="166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5"/>
      <c r="H619" s="369" t="s">
        <v>34</v>
      </c>
      <c r="I619" s="616"/>
      <c r="J619" s="616">
        <v>0</v>
      </c>
      <c r="K619" s="166"/>
      <c r="L619" s="166"/>
      <c r="M619" s="166"/>
      <c r="N619" s="166"/>
      <c r="O619" s="166"/>
      <c r="P619" s="166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266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IFERROR(__xludf.DUMMYFUNCTION("IMPORTRANGE(""https://docs.google.com/spreadsheets/d/1QqKyyYR6Q21VydFLVH3TRQUabQu_ym0Zz7PgGX0-kHA/edit?usp=sharing"",""แผน!HL85"")"),0)</f>
        <v>0</v>
      </c>
      <c r="J620" s="727">
        <f>J622+J624+J626</f>
        <v>0</v>
      </c>
      <c r="K620" s="728">
        <f ca="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267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IFERROR(__xludf.DUMMYFUNCTION("IMPORTRANGE(""https://docs.google.com/spreadsheets/d/1QqKyyYR6Q21VydFLVH3TRQUabQu_ym0Zz7PgGX0-kHA/edit?usp=sharing"",""แผน!HK85"")"),0)</f>
        <v>0</v>
      </c>
      <c r="J621" s="727">
        <f>J623+J625+J627</f>
        <v>0</v>
      </c>
      <c r="K621" s="728">
        <f ca="1">IF(I621&gt;0,J621*100/I621,0)</f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268</v>
      </c>
      <c r="E622" s="625"/>
      <c r="F622" s="625"/>
      <c r="G622" s="761"/>
      <c r="H622" s="763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264</v>
      </c>
      <c r="E624" s="625"/>
      <c r="F624" s="625"/>
      <c r="G624" s="761"/>
      <c r="H624" s="763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269</v>
      </c>
      <c r="E626" s="625"/>
      <c r="F626" s="625"/>
      <c r="G626" s="761"/>
      <c r="H626" s="763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2" t="s">
        <v>34</v>
      </c>
      <c r="I627" s="505"/>
      <c r="J627" s="424">
        <v>0</v>
      </c>
      <c r="K627" s="384"/>
      <c r="L627" s="384"/>
      <c r="M627" s="384"/>
      <c r="N627" s="384"/>
      <c r="O627" s="384"/>
      <c r="P627" s="384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270</v>
      </c>
      <c r="C628" s="737"/>
      <c r="D628" s="737"/>
      <c r="E628" s="737"/>
      <c r="F628" s="737"/>
      <c r="G628" s="738"/>
      <c r="H628" s="739" t="s">
        <v>35</v>
      </c>
      <c r="I628" s="740">
        <f ca="1">I651</f>
        <v>7</v>
      </c>
      <c r="J628" s="740">
        <f ca="1">J651</f>
        <v>8</v>
      </c>
      <c r="K628" s="741">
        <f ca="1">IF(I628&gt;0,J628*100/I628,0)</f>
        <v>114.28571428571429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887" t="s">
        <v>17</v>
      </c>
      <c r="E629" s="888"/>
      <c r="F629" s="888"/>
      <c r="G629" s="188"/>
      <c r="H629" s="597" t="s">
        <v>12</v>
      </c>
      <c r="I629" s="269"/>
      <c r="J629" s="269"/>
      <c r="K629" s="497"/>
      <c r="L629" s="194">
        <f ca="1">L630+L631</f>
        <v>164050</v>
      </c>
      <c r="M629" s="194">
        <f ca="1">M630+M631</f>
        <v>164050</v>
      </c>
      <c r="N629" s="194">
        <f>N630+N631</f>
        <v>164050</v>
      </c>
      <c r="O629" s="194">
        <f t="shared" ref="O629:O634" ca="1" si="90">IF(L629&gt;0,N629*100/L629,0)</f>
        <v>100</v>
      </c>
      <c r="P629" s="194">
        <f t="shared" ref="P629:P634" ca="1" si="91">IF(M629&gt;0,N629*100/M629,0)</f>
        <v>100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184</v>
      </c>
      <c r="F630" s="758"/>
      <c r="G630" s="602"/>
      <c r="H630" s="164" t="s">
        <v>12</v>
      </c>
      <c r="I630" s="616"/>
      <c r="J630" s="616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185</v>
      </c>
      <c r="F631" s="758"/>
      <c r="G631" s="602"/>
      <c r="H631" s="164" t="s">
        <v>12</v>
      </c>
      <c r="I631" s="616"/>
      <c r="J631" s="616"/>
      <c r="K631" s="92"/>
      <c r="L631" s="92">
        <f t="shared" ca="1" si="92"/>
        <v>164050</v>
      </c>
      <c r="M631" s="92">
        <f t="shared" ca="1" si="92"/>
        <v>164050</v>
      </c>
      <c r="N631" s="92">
        <f t="shared" si="92"/>
        <v>164050</v>
      </c>
      <c r="O631" s="92">
        <f t="shared" ca="1" si="90"/>
        <v>100</v>
      </c>
      <c r="P631" s="92">
        <f t="shared" ca="1" si="91"/>
        <v>100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8"/>
      <c r="H632" s="160" t="s">
        <v>12</v>
      </c>
      <c r="I632" s="183"/>
      <c r="J632" s="183"/>
      <c r="K632" s="162"/>
      <c r="L632" s="497">
        <f ca="1">L633+L634</f>
        <v>164050</v>
      </c>
      <c r="M632" s="497">
        <f ca="1">M633+M634</f>
        <v>164050</v>
      </c>
      <c r="N632" s="497">
        <f>N633+N634</f>
        <v>164050</v>
      </c>
      <c r="O632" s="497">
        <f t="shared" ca="1" si="90"/>
        <v>100</v>
      </c>
      <c r="P632" s="497">
        <f t="shared" ca="1" si="91"/>
        <v>100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184</v>
      </c>
      <c r="F633" s="758"/>
      <c r="G633" s="602"/>
      <c r="H633" s="164" t="s">
        <v>12</v>
      </c>
      <c r="I633" s="616"/>
      <c r="J633" s="616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185</v>
      </c>
      <c r="F634" s="758"/>
      <c r="G634" s="602"/>
      <c r="H634" s="164" t="s">
        <v>12</v>
      </c>
      <c r="I634" s="616"/>
      <c r="J634" s="616"/>
      <c r="K634" s="92"/>
      <c r="L634" s="92">
        <f ca="1">IFERROR(__xludf.DUMMYFUNCTION("IMPORTRANGE(""https://docs.google.com/spreadsheets/d/1QqKyyYR6Q21VydFLVH3TRQUabQu_ym0Zz7PgGX0-kHA/edit?usp=sharing"",""แผน!HN85"")"),164050)</f>
        <v>164050</v>
      </c>
      <c r="M634" s="92">
        <f ca="1">L634</f>
        <v>164050</v>
      </c>
      <c r="N634" s="92">
        <f>N635+N636+N637+N638</f>
        <v>164050</v>
      </c>
      <c r="O634" s="92">
        <f t="shared" ca="1" si="90"/>
        <v>100</v>
      </c>
      <c r="P634" s="92">
        <f t="shared" ca="1" si="91"/>
        <v>100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826">
        <v>0</v>
      </c>
      <c r="O635" s="497"/>
      <c r="P635" s="497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826">
        <v>0</v>
      </c>
      <c r="O636" s="497"/>
      <c r="P636" s="497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826">
        <v>0</v>
      </c>
      <c r="O637" s="497"/>
      <c r="P637" s="497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826">
        <v>164050</v>
      </c>
      <c r="O638" s="497"/>
      <c r="P638" s="497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IFERROR(__xludf.DUMMYFUNCTION("IMPORTRANGE(""https://docs.google.com/spreadsheets/d/1QqKyyYR6Q21VydFLVH3TRQUabQu_ym0Zz7PgGX0-kHA/edit?usp=sharing"",""แผน!HQ85"")"),0)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41" t="s">
        <v>38</v>
      </c>
      <c r="E642" s="760"/>
      <c r="F642" s="760"/>
      <c r="G642" s="612"/>
      <c r="H642" s="761"/>
      <c r="I642" s="183"/>
      <c r="J642" s="183"/>
      <c r="K642" s="162"/>
      <c r="L642" s="162"/>
      <c r="M642" s="162"/>
      <c r="N642" s="162"/>
      <c r="O642" s="162"/>
      <c r="P642" s="162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271</v>
      </c>
      <c r="F643" s="625"/>
      <c r="G643" s="761"/>
      <c r="H643" s="763" t="s">
        <v>272</v>
      </c>
      <c r="I643" s="269">
        <f ca="1">IFERROR(__xludf.DUMMYFUNCTION("IMPORTRANGE(""https://docs.google.com/spreadsheets/d/1QqKyyYR6Q21VydFLVH3TRQUabQu_ym0Zz7PgGX0-kHA/edit?usp=sharing"",""แผน!HR85"")"),0)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273</v>
      </c>
      <c r="F644" s="625"/>
      <c r="G644" s="761"/>
      <c r="H644" s="763" t="s">
        <v>274</v>
      </c>
      <c r="I644" s="269">
        <f ca="1">IFERROR(__xludf.DUMMYFUNCTION("IMPORTRANGE(""https://docs.google.com/spreadsheets/d/1QqKyyYR6Q21VydFLVH3TRQUabQu_ym0Zz7PgGX0-kHA/edit?usp=sharing"",""แผน!HR85"")"),0)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275</v>
      </c>
      <c r="F645" s="625"/>
      <c r="G645" s="761"/>
      <c r="H645" s="763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IFERROR(__xludf.DUMMYFUNCTION("IMPORTRANGE(""https://docs.google.com/spreadsheets/d/1XWAQStnk-4SwqDmLtmXYiTMKHgktTP8We1SCoS47DrQ/edit?usp=sharing"",""จัดที่ดิน!AS85"")"),7)</f>
        <v>7</v>
      </c>
      <c r="K645" s="162">
        <f t="shared" si="93"/>
        <v>0</v>
      </c>
      <c r="L645" s="162"/>
      <c r="M645" s="162"/>
      <c r="N645" s="497"/>
      <c r="O645" s="162"/>
      <c r="P645" s="162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IFERROR(__xludf.DUMMYFUNCTION("IMPORTRANGE(""https://docs.google.com/spreadsheets/d/1XWAQStnk-4SwqDmLtmXYiTMKHgktTP8We1SCoS47DrQ/edit?usp=sharing"",""จัดที่ดิน!AT85"")"),1.62)</f>
        <v>1.62</v>
      </c>
      <c r="K646" s="497">
        <f t="shared" si="93"/>
        <v>0</v>
      </c>
      <c r="L646" s="162"/>
      <c r="M646" s="162"/>
      <c r="N646" s="497"/>
      <c r="O646" s="162"/>
      <c r="P646" s="162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69">
        <f ca="1">IFERROR(__xludf.DUMMYFUNCTION("IMPORTRANGE(""https://docs.google.com/spreadsheets/d/1QqKyyYR6Q21VydFLVH3TRQUabQu_ym0Zz7PgGX0-kHA/edit?usp=sharing"",""แผน!HS85"")"),7)</f>
        <v>7</v>
      </c>
      <c r="J647" s="269">
        <f ca="1">IFERROR(__xludf.DUMMYFUNCTION("IMPORTRANGE(""https://docs.google.com/spreadsheets/d/1XWAQStnk-4SwqDmLtmXYiTMKHgktTP8We1SCoS47DrQ/edit?usp=sharing"",""จัดที่ดิน!AU85"")"),8)</f>
        <v>8</v>
      </c>
      <c r="K647" s="162">
        <f t="shared" ca="1" si="93"/>
        <v>114.28571428571429</v>
      </c>
      <c r="L647" s="162"/>
      <c r="M647" s="162"/>
      <c r="N647" s="162"/>
      <c r="O647" s="162"/>
      <c r="P647" s="162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IFERROR(__xludf.DUMMYFUNCTION("IMPORTRANGE(""https://docs.google.com/spreadsheets/d/1XWAQStnk-4SwqDmLtmXYiTMKHgktTP8We1SCoS47DrQ/edit?usp=sharing"",""จัดที่ดิน!AV85"")"),3.67)</f>
        <v>3.67</v>
      </c>
      <c r="K648" s="497">
        <f t="shared" si="93"/>
        <v>0</v>
      </c>
      <c r="L648" s="162"/>
      <c r="M648" s="162"/>
      <c r="N648" s="162"/>
      <c r="O648" s="162"/>
      <c r="P648" s="162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276</v>
      </c>
      <c r="F649" s="625"/>
      <c r="G649" s="761"/>
      <c r="H649" s="763" t="s">
        <v>35</v>
      </c>
      <c r="I649" s="269">
        <f ca="1">IFERROR(__xludf.DUMMYFUNCTION("IMPORTRANGE(""https://docs.google.com/spreadsheets/d/1QqKyyYR6Q21VydFLVH3TRQUabQu_ym0Zz7PgGX0-kHA/edit?usp=sharing"",""แผน!HS85"")"),7)</f>
        <v>7</v>
      </c>
      <c r="J649" s="269">
        <f ca="1">IFERROR(__xludf.DUMMYFUNCTION("IMPORTRANGE(""https://docs.google.com/spreadsheets/d/1XWAQStnk-4SwqDmLtmXYiTMKHgktTP8We1SCoS47DrQ/edit?usp=sharing"",""จัดที่ดิน!AW85"")"),7)</f>
        <v>7</v>
      </c>
      <c r="K649" s="162">
        <f t="shared" ca="1" si="93"/>
        <v>100</v>
      </c>
      <c r="L649" s="162"/>
      <c r="M649" s="162"/>
      <c r="N649" s="162"/>
      <c r="O649" s="162"/>
      <c r="P649" s="162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IFERROR(__xludf.DUMMYFUNCTION("IMPORTRANGE(""https://docs.google.com/spreadsheets/d/1XWAQStnk-4SwqDmLtmXYiTMKHgktTP8We1SCoS47DrQ/edit?usp=sharing"",""จัดที่ดิน!AX85"")"),1.62)</f>
        <v>1.62</v>
      </c>
      <c r="K650" s="497">
        <f t="shared" si="93"/>
        <v>0</v>
      </c>
      <c r="L650" s="162"/>
      <c r="M650" s="162"/>
      <c r="N650" s="162"/>
      <c r="O650" s="162"/>
      <c r="P650" s="162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277</v>
      </c>
      <c r="F651" s="625"/>
      <c r="G651" s="761"/>
      <c r="H651" s="763" t="s">
        <v>35</v>
      </c>
      <c r="I651" s="269">
        <f ca="1">IFERROR(__xludf.DUMMYFUNCTION("IMPORTRANGE(""https://docs.google.com/spreadsheets/d/1QqKyyYR6Q21VydFLVH3TRQUabQu_ym0Zz7PgGX0-kHA/edit?usp=sharing"",""แผน!HS85"")"),7)</f>
        <v>7</v>
      </c>
      <c r="J651" s="269">
        <f ca="1">IFERROR(__xludf.DUMMYFUNCTION("IMPORTRANGE(""https://docs.google.com/spreadsheets/d/1XWAQStnk-4SwqDmLtmXYiTMKHgktTP8We1SCoS47DrQ/edit?usp=sharing"",""จัดที่ดิน!AY85"")"),8)</f>
        <v>8</v>
      </c>
      <c r="K651" s="162">
        <f t="shared" ca="1" si="93"/>
        <v>114.28571428571429</v>
      </c>
      <c r="L651" s="162"/>
      <c r="M651" s="162"/>
      <c r="N651" s="162"/>
      <c r="O651" s="162"/>
      <c r="P651" s="162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IFERROR(__xludf.DUMMYFUNCTION("IMPORTRANGE(""https://docs.google.com/spreadsheets/d/1XWAQStnk-4SwqDmLtmXYiTMKHgktTP8We1SCoS47DrQ/edit?usp=sharing"",""จัดที่ดิน!AZ85"")"),3.6675)</f>
        <v>3.6675</v>
      </c>
      <c r="K652" s="506">
        <f t="shared" si="93"/>
        <v>0</v>
      </c>
      <c r="L652" s="384"/>
      <c r="M652" s="384"/>
      <c r="N652" s="384"/>
      <c r="O652" s="384"/>
      <c r="P652" s="384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278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279</v>
      </c>
      <c r="C654" s="672"/>
      <c r="D654" s="672"/>
      <c r="E654" s="672"/>
      <c r="F654" s="672"/>
      <c r="G654" s="673"/>
      <c r="H654" s="706" t="s">
        <v>46</v>
      </c>
      <c r="I654" s="707">
        <f ca="1">I669</f>
        <v>0</v>
      </c>
      <c r="J654" s="707">
        <f>J669</f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87" t="s">
        <v>17</v>
      </c>
      <c r="E655" s="888"/>
      <c r="F655" s="888"/>
      <c r="G655" s="188"/>
      <c r="H655" s="597" t="s">
        <v>12</v>
      </c>
      <c r="I655" s="269"/>
      <c r="J655" s="269"/>
      <c r="K655" s="497"/>
      <c r="L655" s="194">
        <f ca="1">L656+L657</f>
        <v>0</v>
      </c>
      <c r="M655" s="194">
        <f>M656+M657</f>
        <v>0</v>
      </c>
      <c r="N655" s="194">
        <f>N656+N657</f>
        <v>0</v>
      </c>
      <c r="O655" s="194">
        <f t="shared" ref="O655:O660" ca="1" si="94">IF(L655&gt;0,N655*100/L655,0)</f>
        <v>0</v>
      </c>
      <c r="P655" s="194">
        <f t="shared" ref="P655:P660" si="9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184</v>
      </c>
      <c r="F656" s="758"/>
      <c r="G656" s="602"/>
      <c r="H656" s="164" t="s">
        <v>12</v>
      </c>
      <c r="I656" s="616"/>
      <c r="J656" s="616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185</v>
      </c>
      <c r="F657" s="758"/>
      <c r="G657" s="602"/>
      <c r="H657" s="164" t="s">
        <v>12</v>
      </c>
      <c r="I657" s="616"/>
      <c r="J657" s="616"/>
      <c r="K657" s="92"/>
      <c r="L657" s="92">
        <f t="shared" ca="1" si="96"/>
        <v>0</v>
      </c>
      <c r="M657" s="92">
        <f t="shared" si="96"/>
        <v>0</v>
      </c>
      <c r="N657" s="92">
        <f t="shared" si="96"/>
        <v>0</v>
      </c>
      <c r="O657" s="92">
        <f t="shared" ca="1" si="94"/>
        <v>0</v>
      </c>
      <c r="P657" s="92">
        <f t="shared" si="9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8"/>
      <c r="H658" s="160" t="s">
        <v>12</v>
      </c>
      <c r="I658" s="183"/>
      <c r="J658" s="183"/>
      <c r="K658" s="162"/>
      <c r="L658" s="497">
        <f ca="1">L659+L660</f>
        <v>0</v>
      </c>
      <c r="M658" s="497">
        <f>M659+M660</f>
        <v>0</v>
      </c>
      <c r="N658" s="497">
        <f>N659+N660</f>
        <v>0</v>
      </c>
      <c r="O658" s="497">
        <f t="shared" ca="1" si="94"/>
        <v>0</v>
      </c>
      <c r="P658" s="497">
        <f t="shared" si="9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184</v>
      </c>
      <c r="F659" s="758"/>
      <c r="G659" s="602"/>
      <c r="H659" s="164" t="s">
        <v>12</v>
      </c>
      <c r="I659" s="616"/>
      <c r="J659" s="616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185</v>
      </c>
      <c r="F660" s="758"/>
      <c r="G660" s="602"/>
      <c r="H660" s="164" t="s">
        <v>12</v>
      </c>
      <c r="I660" s="616"/>
      <c r="J660" s="616"/>
      <c r="K660" s="92"/>
      <c r="L660" s="92">
        <f ca="1">IFERROR(__xludf.DUMMYFUNCTION("IMPORTRANGE(""https://docs.google.com/spreadsheets/d/1QqKyyYR6Q21VydFLVH3TRQUabQu_ym0Zz7PgGX0-kHA/edit?usp=sharing"",""แผน!HV85"")"),0)</f>
        <v>0</v>
      </c>
      <c r="M660" s="92">
        <v>0</v>
      </c>
      <c r="N660" s="92">
        <f>N661+N662+N663+N664</f>
        <v>0</v>
      </c>
      <c r="O660" s="92">
        <f t="shared" ca="1" si="94"/>
        <v>0</v>
      </c>
      <c r="P660" s="92">
        <f t="shared" si="9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826">
        <v>0</v>
      </c>
      <c r="O661" s="497"/>
      <c r="P661" s="497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826">
        <v>0</v>
      </c>
      <c r="O662" s="497"/>
      <c r="P662" s="497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826">
        <v>0</v>
      </c>
      <c r="O663" s="497"/>
      <c r="P663" s="497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826">
        <v>0</v>
      </c>
      <c r="O664" s="497"/>
      <c r="P664" s="497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40" t="s">
        <v>38</v>
      </c>
      <c r="E668" s="760"/>
      <c r="F668" s="760"/>
      <c r="G668" s="612"/>
      <c r="H668" s="761"/>
      <c r="I668" s="183"/>
      <c r="J668" s="183"/>
      <c r="K668" s="162"/>
      <c r="L668" s="162"/>
      <c r="M668" s="162"/>
      <c r="N668" s="162"/>
      <c r="O668" s="162"/>
      <c r="P668" s="162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280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IFERROR(__xludf.DUMMYFUNCTION("IMPORTRANGE(""https://docs.google.com/spreadsheets/d/1QqKyyYR6Q21VydFLVH3TRQUabQu_ym0Zz7PgGX0-kHA/edit?usp=sharing"",""แผน!IA85"")"),0)</f>
        <v>0</v>
      </c>
      <c r="J669" s="680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281</v>
      </c>
      <c r="F670" s="625"/>
      <c r="G670" s="761"/>
      <c r="H670" s="763" t="s">
        <v>66</v>
      </c>
      <c r="I670" s="269">
        <f ca="1">IFERROR(__xludf.DUMMYFUNCTION("IMPORTRANGE(""https://docs.google.com/spreadsheets/d/1QqKyyYR6Q21VydFLVH3TRQUabQu_ym0Zz7PgGX0-kHA/edit?usp=sharing"",""แผน!HZ85"")"),0)</f>
        <v>0</v>
      </c>
      <c r="J670" s="214">
        <v>0</v>
      </c>
      <c r="K670" s="497">
        <f ca="1">IF(I670&gt;0,(J670*100)/I670,0)</f>
        <v>0</v>
      </c>
      <c r="L670" s="162"/>
      <c r="M670" s="162"/>
      <c r="N670" s="162"/>
      <c r="O670" s="162"/>
      <c r="P670" s="162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282</v>
      </c>
      <c r="F671" s="625"/>
      <c r="G671" s="761"/>
      <c r="H671" s="763" t="s">
        <v>66</v>
      </c>
      <c r="I671" s="269">
        <f ca="1">IFERROR(__xludf.DUMMYFUNCTION("IMPORTRANGE(""https://docs.google.com/spreadsheets/d/1QqKyyYR6Q21VydFLVH3TRQUabQu_ym0Zz7PgGX0-kHA/edit?usp=sharing"",""แผน!HZ85"")"),0)</f>
        <v>0</v>
      </c>
      <c r="J671" s="214">
        <v>0</v>
      </c>
      <c r="K671" s="497">
        <f ca="1">IF(I$671&gt;0,J671*100/I$671,0)</f>
        <v>0</v>
      </c>
      <c r="L671" s="162"/>
      <c r="M671" s="162"/>
      <c r="N671" s="162"/>
      <c r="O671" s="162"/>
      <c r="P671" s="162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283</v>
      </c>
      <c r="F672" s="625"/>
      <c r="G672" s="761"/>
      <c r="H672" s="763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284</v>
      </c>
      <c r="F673" s="625"/>
      <c r="G673" s="761"/>
      <c r="H673" s="763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285</v>
      </c>
      <c r="F674" s="625"/>
      <c r="G674" s="761"/>
      <c r="H674" s="763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286</v>
      </c>
      <c r="F675" s="625"/>
      <c r="G675" s="761"/>
      <c r="H675" s="763" t="s">
        <v>46</v>
      </c>
      <c r="I675" s="269"/>
      <c r="J675" s="680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287</v>
      </c>
      <c r="G676" s="761"/>
      <c r="H676" s="763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288</v>
      </c>
      <c r="G677" s="761"/>
      <c r="H677" s="763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289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IFERROR(__xludf.DUMMYFUNCTION("IMPORTRANGE(""https://docs.google.com/spreadsheets/d/1QqKyyYR6Q21VydFLVH3TRQUabQu_ym0Zz7PgGX0-kHA/edit?usp=sharing"",""แผน!IB85"")"),0)</f>
        <v>0</v>
      </c>
      <c r="J678" s="680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290</v>
      </c>
      <c r="F679" s="625"/>
      <c r="G679" s="761"/>
      <c r="H679" s="763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287</v>
      </c>
      <c r="G680" s="761"/>
      <c r="H680" s="763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288</v>
      </c>
      <c r="G681" s="761"/>
      <c r="H681" s="763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291</v>
      </c>
      <c r="F682" s="625"/>
      <c r="G682" s="761"/>
      <c r="H682" s="763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292</v>
      </c>
      <c r="G683" s="761"/>
      <c r="H683" s="763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293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87" t="s">
        <v>17</v>
      </c>
      <c r="E685" s="888"/>
      <c r="F685" s="888"/>
      <c r="G685" s="188"/>
      <c r="H685" s="597" t="s">
        <v>12</v>
      </c>
      <c r="I685" s="269"/>
      <c r="J685" s="269"/>
      <c r="K685" s="497"/>
      <c r="L685" s="194">
        <f ca="1">L686+L687</f>
        <v>0</v>
      </c>
      <c r="M685" s="194">
        <f>M686+M687</f>
        <v>0</v>
      </c>
      <c r="N685" s="194">
        <f>N686+N687</f>
        <v>0</v>
      </c>
      <c r="O685" s="194">
        <f ca="1">IF(L685&gt;0,N685*100/L685,0)</f>
        <v>0</v>
      </c>
      <c r="P685" s="194">
        <f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184</v>
      </c>
      <c r="F686" s="758"/>
      <c r="G686" s="602"/>
      <c r="H686" s="164" t="s">
        <v>12</v>
      </c>
      <c r="I686" s="616"/>
      <c r="J686" s="616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185</v>
      </c>
      <c r="F687" s="758"/>
      <c r="G687" s="602"/>
      <c r="H687" s="164" t="s">
        <v>12</v>
      </c>
      <c r="I687" s="616"/>
      <c r="J687" s="616"/>
      <c r="K687" s="92"/>
      <c r="L687" s="92">
        <f t="shared" ca="1" si="97"/>
        <v>0</v>
      </c>
      <c r="M687" s="92">
        <f t="shared" si="97"/>
        <v>0</v>
      </c>
      <c r="N687" s="92">
        <f t="shared" si="97"/>
        <v>0</v>
      </c>
      <c r="O687" s="92">
        <f ca="1">IF(L687&gt;0,N687*100/L687,0)</f>
        <v>0</v>
      </c>
      <c r="P687" s="92">
        <f>IF(M687&gt;0,N687*100/M687,0)</f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8"/>
      <c r="H688" s="160" t="s">
        <v>12</v>
      </c>
      <c r="I688" s="183"/>
      <c r="J688" s="183"/>
      <c r="K688" s="162"/>
      <c r="L688" s="497">
        <f ca="1">L689+L690</f>
        <v>0</v>
      </c>
      <c r="M688" s="497">
        <f>M689+M690</f>
        <v>0</v>
      </c>
      <c r="N688" s="497">
        <f>N689+N690</f>
        <v>0</v>
      </c>
      <c r="O688" s="497">
        <f ca="1">IF(L688&gt;0,N688*100/L688,0)</f>
        <v>0</v>
      </c>
      <c r="P688" s="497">
        <f>IF(M688&gt;0,N688*100/M688,0)</f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184</v>
      </c>
      <c r="F689" s="758"/>
      <c r="G689" s="602"/>
      <c r="H689" s="164" t="s">
        <v>12</v>
      </c>
      <c r="I689" s="616"/>
      <c r="J689" s="616"/>
      <c r="K689" s="92"/>
      <c r="L689" s="92">
        <v>0</v>
      </c>
      <c r="M689" s="92">
        <v>0</v>
      </c>
      <c r="N689" s="92">
        <v>0</v>
      </c>
      <c r="O689" s="92"/>
      <c r="P689" s="92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185</v>
      </c>
      <c r="F690" s="758"/>
      <c r="G690" s="602"/>
      <c r="H690" s="164" t="s">
        <v>12</v>
      </c>
      <c r="I690" s="616"/>
      <c r="J690" s="616"/>
      <c r="K690" s="92"/>
      <c r="L690" s="92">
        <f ca="1">IFERROR(__xludf.DUMMYFUNCTION("IMPORTRANGE(""https://docs.google.com/spreadsheets/d/1QqKyyYR6Q21VydFLVH3TRQUabQu_ym0Zz7PgGX0-kHA/edit?usp=sharing"",""แผน!HW85"")"),0)</f>
        <v>0</v>
      </c>
      <c r="M690" s="92">
        <v>0</v>
      </c>
      <c r="N690" s="92">
        <f>N691+N692+N693+N694</f>
        <v>0</v>
      </c>
      <c r="O690" s="92">
        <f ca="1">IF(L690&gt;0,N690*100/L690,0)</f>
        <v>0</v>
      </c>
      <c r="P690" s="92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826">
        <v>0</v>
      </c>
      <c r="O691" s="497"/>
      <c r="P691" s="497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826">
        <v>0</v>
      </c>
      <c r="O692" s="497"/>
      <c r="P692" s="497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826">
        <v>0</v>
      </c>
      <c r="O693" s="497"/>
      <c r="P693" s="497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826">
        <v>0</v>
      </c>
      <c r="O694" s="497"/>
      <c r="P694" s="497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38" t="s">
        <v>38</v>
      </c>
      <c r="E698" s="760"/>
      <c r="F698" s="760"/>
      <c r="G698" s="612"/>
      <c r="H698" s="761"/>
      <c r="I698" s="183"/>
      <c r="J698" s="183"/>
      <c r="K698" s="162"/>
      <c r="L698" s="162"/>
      <c r="M698" s="162"/>
      <c r="N698" s="162"/>
      <c r="O698" s="162"/>
      <c r="P698" s="162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294</v>
      </c>
      <c r="E699" s="762"/>
      <c r="F699" s="762"/>
      <c r="G699" s="188"/>
      <c r="H699" s="763" t="s">
        <v>46</v>
      </c>
      <c r="I699" s="764">
        <f ca="1">IFERROR(__xludf.DUMMYFUNCTION("IMPORTRANGE(""https://docs.google.com/spreadsheets/d/1QqKyyYR6Q21VydFLVH3TRQUabQu_ym0Zz7PgGX0-kHA/edit?usp=sharing"",""แผน!IC85"")"),0)</f>
        <v>0</v>
      </c>
      <c r="J699" s="269">
        <f ca="1">IFERROR(__xludf.DUMMYFUNCTION("IMPORTRANGE(""https://docs.google.com/spreadsheets/d/1XWAQStnk-4SwqDmLtmXYiTMKHgktTP8We1SCoS47DrQ/edit?usp=sharing"",""จัดที่ดิน!BB85"")"),0)</f>
        <v>0</v>
      </c>
      <c r="K699" s="497">
        <f ca="1">IF(I699&gt;0,J699*100/I699,0)</f>
        <v>0</v>
      </c>
      <c r="L699" s="497"/>
      <c r="M699" s="188"/>
      <c r="N699" s="765"/>
      <c r="O699" s="497"/>
      <c r="P699" s="497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295</v>
      </c>
      <c r="E700" s="762"/>
      <c r="F700" s="762"/>
      <c r="G700" s="188"/>
      <c r="H700" s="763" t="s">
        <v>35</v>
      </c>
      <c r="I700" s="764">
        <f ca="1">IFERROR(__xludf.DUMMYFUNCTION("IMPORTRANGE(""https://docs.google.com/spreadsheets/d/1QqKyyYR6Q21VydFLVH3TRQUabQu_ym0Zz7PgGX0-kHA/edit?usp=sharing"",""แผน!ID85"")"),0)</f>
        <v>0</v>
      </c>
      <c r="J700" s="269">
        <f ca="1">IFERROR(__xludf.DUMMYFUNCTION("IMPORTRANGE(""https://docs.google.com/spreadsheets/d/1XWAQStnk-4SwqDmLtmXYiTMKHgktTP8We1SCoS47DrQ/edit?usp=sharing"",""จัดที่ดิน!BD85"")"),0)</f>
        <v>0</v>
      </c>
      <c r="K700" s="497">
        <f ca="1">IF(I700&gt;0,J700*100/I700,0)</f>
        <v>0</v>
      </c>
      <c r="L700" s="497"/>
      <c r="M700" s="188"/>
      <c r="N700" s="765"/>
      <c r="O700" s="497"/>
      <c r="P700" s="497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296</v>
      </c>
      <c r="E701" s="762"/>
      <c r="F701" s="762"/>
      <c r="G701" s="188"/>
      <c r="H701" s="766" t="s">
        <v>46</v>
      </c>
      <c r="I701" s="767">
        <f ca="1">IFERROR(__xludf.DUMMYFUNCTION("IMPORTRANGE(""https://docs.google.com/spreadsheets/d/1QqKyyYR6Q21VydFLVH3TRQUabQu_ym0Zz7PgGX0-kHA/edit?usp=sharing"",""แผน!IE85"")"),0)</f>
        <v>0</v>
      </c>
      <c r="J701" s="680">
        <f>J704+J707</f>
        <v>0</v>
      </c>
      <c r="K701" s="194">
        <f ca="1">IF(I701&gt;0,J701*100/I701,0)</f>
        <v>0</v>
      </c>
      <c r="L701" s="497"/>
      <c r="M701" s="188"/>
      <c r="N701" s="765"/>
      <c r="O701" s="497"/>
      <c r="P701" s="497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297</v>
      </c>
      <c r="F702" s="762"/>
      <c r="G702" s="188"/>
      <c r="H702" s="763" t="s">
        <v>35</v>
      </c>
      <c r="I702" s="764"/>
      <c r="J702" s="214">
        <v>0</v>
      </c>
      <c r="K702" s="497"/>
      <c r="L702" s="497"/>
      <c r="M702" s="188"/>
      <c r="N702" s="765"/>
      <c r="O702" s="497"/>
      <c r="P702" s="497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8"/>
      <c r="H703" s="763" t="s">
        <v>34</v>
      </c>
      <c r="I703" s="764"/>
      <c r="J703" s="214">
        <v>0</v>
      </c>
      <c r="K703" s="497"/>
      <c r="L703" s="497"/>
      <c r="M703" s="188"/>
      <c r="N703" s="765"/>
      <c r="O703" s="497"/>
      <c r="P703" s="497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8"/>
      <c r="H704" s="763" t="s">
        <v>46</v>
      </c>
      <c r="I704" s="764">
        <f ca="1">IFERROR(__xludf.DUMMYFUNCTION("IMPORTRANGE(""https://docs.google.com/spreadsheets/d/1QqKyyYR6Q21VydFLVH3TRQUabQu_ym0Zz7PgGX0-kHA/edit?usp=sharing"",""แผน!IF85"")"),0)</f>
        <v>0</v>
      </c>
      <c r="J704" s="214">
        <v>0</v>
      </c>
      <c r="K704" s="497"/>
      <c r="L704" s="497"/>
      <c r="M704" s="188"/>
      <c r="N704" s="765"/>
      <c r="O704" s="497"/>
      <c r="P704" s="497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298</v>
      </c>
      <c r="F705" s="762"/>
      <c r="G705" s="188"/>
      <c r="H705" s="763" t="s">
        <v>35</v>
      </c>
      <c r="I705" s="764"/>
      <c r="J705" s="214">
        <v>0</v>
      </c>
      <c r="K705" s="497"/>
      <c r="L705" s="497"/>
      <c r="M705" s="188"/>
      <c r="N705" s="765"/>
      <c r="O705" s="497"/>
      <c r="P705" s="497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8"/>
      <c r="H706" s="763" t="s">
        <v>34</v>
      </c>
      <c r="I706" s="764"/>
      <c r="J706" s="214">
        <v>0</v>
      </c>
      <c r="K706" s="497"/>
      <c r="L706" s="497"/>
      <c r="M706" s="188"/>
      <c r="N706" s="765"/>
      <c r="O706" s="497"/>
      <c r="P706" s="497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8"/>
      <c r="H707" s="763" t="s">
        <v>46</v>
      </c>
      <c r="I707" s="764">
        <f ca="1">IFERROR(__xludf.DUMMYFUNCTION("IMPORTRANGE(""https://docs.google.com/spreadsheets/d/1QqKyyYR6Q21VydFLVH3TRQUabQu_ym0Zz7PgGX0-kHA/edit?usp=sharing"",""แผน!IG85"")"),0)</f>
        <v>0</v>
      </c>
      <c r="J707" s="214">
        <v>0</v>
      </c>
      <c r="K707" s="497"/>
      <c r="L707" s="497"/>
      <c r="M707" s="188"/>
      <c r="N707" s="765"/>
      <c r="O707" s="497"/>
      <c r="P707" s="497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299</v>
      </c>
      <c r="E708" s="762"/>
      <c r="F708" s="762"/>
      <c r="G708" s="188"/>
      <c r="H708" s="766" t="s">
        <v>46</v>
      </c>
      <c r="I708" s="767">
        <f ca="1">IFERROR(__xludf.DUMMYFUNCTION("IMPORTRANGE(""https://docs.google.com/spreadsheets/d/1QqKyyYR6Q21VydFLVH3TRQUabQu_ym0Zz7PgGX0-kHA/edit?usp=sharing"",""แผน!IH85"")"),0)</f>
        <v>0</v>
      </c>
      <c r="J708" s="680">
        <f>J714+J717</f>
        <v>0</v>
      </c>
      <c r="K708" s="194">
        <f ca="1">IF(I708&gt;0,J708*100/I708,0)</f>
        <v>0</v>
      </c>
      <c r="L708" s="497"/>
      <c r="M708" s="188"/>
      <c r="N708" s="765"/>
      <c r="O708" s="497"/>
      <c r="P708" s="497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300</v>
      </c>
      <c r="F709" s="762"/>
      <c r="G709" s="188"/>
      <c r="H709" s="763" t="s">
        <v>34</v>
      </c>
      <c r="I709" s="764"/>
      <c r="J709" s="214">
        <v>0</v>
      </c>
      <c r="K709" s="497"/>
      <c r="L709" s="765"/>
      <c r="M709" s="188"/>
      <c r="N709" s="765"/>
      <c r="O709" s="497"/>
      <c r="P709" s="497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8"/>
      <c r="H710" s="763" t="s">
        <v>46</v>
      </c>
      <c r="I710" s="764"/>
      <c r="J710" s="214">
        <v>0</v>
      </c>
      <c r="K710" s="497"/>
      <c r="L710" s="765"/>
      <c r="M710" s="188"/>
      <c r="N710" s="765"/>
      <c r="O710" s="497"/>
      <c r="P710" s="497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301</v>
      </c>
      <c r="F711" s="762"/>
      <c r="G711" s="188"/>
      <c r="H711" s="761"/>
      <c r="I711" s="764"/>
      <c r="J711" s="269"/>
      <c r="K711" s="497"/>
      <c r="L711" s="765"/>
      <c r="M711" s="188"/>
      <c r="N711" s="765"/>
      <c r="O711" s="497"/>
      <c r="P711" s="497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302</v>
      </c>
      <c r="G712" s="188"/>
      <c r="H712" s="763" t="s">
        <v>35</v>
      </c>
      <c r="I712" s="764"/>
      <c r="J712" s="214">
        <v>0</v>
      </c>
      <c r="K712" s="497"/>
      <c r="L712" s="765"/>
      <c r="M712" s="188"/>
      <c r="N712" s="765"/>
      <c r="O712" s="497"/>
      <c r="P712" s="497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8"/>
      <c r="H713" s="763" t="s">
        <v>34</v>
      </c>
      <c r="I713" s="764"/>
      <c r="J713" s="214">
        <v>0</v>
      </c>
      <c r="K713" s="497"/>
      <c r="L713" s="765"/>
      <c r="M713" s="188"/>
      <c r="N713" s="765"/>
      <c r="O713" s="497"/>
      <c r="P713" s="497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8"/>
      <c r="H714" s="763" t="s">
        <v>46</v>
      </c>
      <c r="I714" s="764"/>
      <c r="J714" s="214">
        <v>0</v>
      </c>
      <c r="K714" s="497"/>
      <c r="L714" s="765"/>
      <c r="M714" s="188"/>
      <c r="N714" s="765"/>
      <c r="O714" s="497"/>
      <c r="P714" s="497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303</v>
      </c>
      <c r="G715" s="188"/>
      <c r="H715" s="763" t="s">
        <v>35</v>
      </c>
      <c r="I715" s="764"/>
      <c r="J715" s="214">
        <v>0</v>
      </c>
      <c r="K715" s="497"/>
      <c r="L715" s="765"/>
      <c r="M715" s="188"/>
      <c r="N715" s="765"/>
      <c r="O715" s="497"/>
      <c r="P715" s="497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8"/>
      <c r="H716" s="763" t="s">
        <v>34</v>
      </c>
      <c r="I716" s="764"/>
      <c r="J716" s="214">
        <v>0</v>
      </c>
      <c r="K716" s="497"/>
      <c r="L716" s="765"/>
      <c r="M716" s="188"/>
      <c r="N716" s="765"/>
      <c r="O716" s="497"/>
      <c r="P716" s="497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8"/>
      <c r="H717" s="763" t="s">
        <v>46</v>
      </c>
      <c r="I717" s="764"/>
      <c r="J717" s="214">
        <v>0</v>
      </c>
      <c r="K717" s="497"/>
      <c r="L717" s="765"/>
      <c r="M717" s="188"/>
      <c r="N717" s="765"/>
      <c r="O717" s="497"/>
      <c r="P717" s="497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304</v>
      </c>
      <c r="E718" s="762"/>
      <c r="F718" s="762"/>
      <c r="G718" s="188"/>
      <c r="H718" s="763" t="s">
        <v>35</v>
      </c>
      <c r="I718" s="764"/>
      <c r="J718" s="269">
        <f ca="1">IFERROR(__xludf.DUMMYFUNCTION("IMPORTRANGE(""https://docs.google.com/spreadsheets/d/1XWAQStnk-4SwqDmLtmXYiTMKHgktTP8We1SCoS47DrQ/edit?usp=sharing"",""จัดที่ดิน!BF85"")"),0)</f>
        <v>0</v>
      </c>
      <c r="K718" s="497"/>
      <c r="L718" s="497"/>
      <c r="M718" s="188"/>
      <c r="N718" s="765"/>
      <c r="O718" s="497"/>
      <c r="P718" s="497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8"/>
      <c r="H719" s="763" t="s">
        <v>34</v>
      </c>
      <c r="I719" s="764"/>
      <c r="J719" s="269">
        <f ca="1">IFERROR(__xludf.DUMMYFUNCTION("IMPORTRANGE(""https://docs.google.com/spreadsheets/d/1XWAQStnk-4SwqDmLtmXYiTMKHgktTP8We1SCoS47DrQ/edit?usp=sharing"",""จัดที่ดิน!BG85"")"),0)</f>
        <v>0</v>
      </c>
      <c r="K719" s="497"/>
      <c r="L719" s="765"/>
      <c r="M719" s="188"/>
      <c r="N719" s="765"/>
      <c r="O719" s="497"/>
      <c r="P719" s="497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8"/>
      <c r="H720" s="763" t="s">
        <v>46</v>
      </c>
      <c r="I720" s="764">
        <f ca="1">IFERROR(__xludf.DUMMYFUNCTION("IMPORTRANGE(""https://docs.google.com/spreadsheets/d/1QqKyyYR6Q21VydFLVH3TRQUabQu_ym0Zz7PgGX0-kHA/edit?usp=sharing"",""แผน!II85"")"),0)</f>
        <v>0</v>
      </c>
      <c r="J720" s="269">
        <f ca="1">IFERROR(__xludf.DUMMYFUNCTION("IMPORTRANGE(""https://docs.google.com/spreadsheets/d/1XWAQStnk-4SwqDmLtmXYiTMKHgktTP8We1SCoS47DrQ/edit?usp=sharing"",""จัดที่ดิน!BH85"")"),0)</f>
        <v>0</v>
      </c>
      <c r="K720" s="497">
        <f ca="1">IF(I720&gt;0,J720*100/I720,0)</f>
        <v>0</v>
      </c>
      <c r="L720" s="765"/>
      <c r="M720" s="188"/>
      <c r="N720" s="765"/>
      <c r="O720" s="497"/>
      <c r="P720" s="497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305</v>
      </c>
      <c r="E721" s="762"/>
      <c r="F721" s="762"/>
      <c r="G721" s="188"/>
      <c r="H721" s="766" t="s">
        <v>35</v>
      </c>
      <c r="I721" s="767">
        <f ca="1">IFERROR(__xludf.DUMMYFUNCTION("IMPORTRANGE(""https://docs.google.com/spreadsheets/d/1QqKyyYR6Q21VydFLVH3TRQUabQu_ym0Zz7PgGX0-kHA/edit?usp=sharing"",""แผน!IJ85"")"),0)</f>
        <v>0</v>
      </c>
      <c r="J721" s="680">
        <f ca="1">J723+J726</f>
        <v>0</v>
      </c>
      <c r="K721" s="194">
        <f ca="1">IF(I721&gt;0,J721*100/I721,0)</f>
        <v>0</v>
      </c>
      <c r="L721" s="765"/>
      <c r="M721" s="188"/>
      <c r="N721" s="765"/>
      <c r="O721" s="497"/>
      <c r="P721" s="497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8"/>
      <c r="H722" s="766" t="s">
        <v>46</v>
      </c>
      <c r="I722" s="767">
        <f ca="1">IFERROR(__xludf.DUMMYFUNCTION("IMPORTRANGE(""https://docs.google.com/spreadsheets/d/1QqKyyYR6Q21VydFLVH3TRQUabQu_ym0Zz7PgGX0-kHA/edit?usp=sharing"",""แผน!IK85"")"),0)</f>
        <v>0</v>
      </c>
      <c r="J722" s="680">
        <f ca="1">J725+J728</f>
        <v>0</v>
      </c>
      <c r="K722" s="194">
        <f ca="1">IF(I722&gt;0,J722*100/I722,0)</f>
        <v>0</v>
      </c>
      <c r="L722" s="497"/>
      <c r="M722" s="188"/>
      <c r="N722" s="765"/>
      <c r="O722" s="497"/>
      <c r="P722" s="497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306</v>
      </c>
      <c r="F723" s="762"/>
      <c r="G723" s="188"/>
      <c r="H723" s="763" t="s">
        <v>35</v>
      </c>
      <c r="I723" s="764">
        <f ca="1">IFERROR(__xludf.DUMMYFUNCTION("IMPORTRANGE(""https://docs.google.com/spreadsheets/d/1QqKyyYR6Q21VydFLVH3TRQUabQu_ym0Zz7PgGX0-kHA/edit?usp=sharing"",""แผน!IL85"")"),0)</f>
        <v>0</v>
      </c>
      <c r="J723" s="269">
        <f ca="1">IFERROR(__xludf.DUMMYFUNCTION("IMPORTRANGE(""https://docs.google.com/spreadsheets/d/1XWAQStnk-4SwqDmLtmXYiTMKHgktTP8We1SCoS47DrQ/edit?usp=sharing"",""จัดที่ดิน!BM85"")"),0)</f>
        <v>0</v>
      </c>
      <c r="K723" s="497">
        <f ca="1">IF(I723&gt;0,J723*100/I723,0)</f>
        <v>0</v>
      </c>
      <c r="L723" s="497"/>
      <c r="M723" s="188"/>
      <c r="N723" s="765"/>
      <c r="O723" s="497"/>
      <c r="P723" s="497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8"/>
      <c r="H724" s="763" t="s">
        <v>34</v>
      </c>
      <c r="I724" s="764"/>
      <c r="J724" s="269">
        <f ca="1">IFERROR(__xludf.DUMMYFUNCTION("IMPORTRANGE(""https://docs.google.com/spreadsheets/d/1XWAQStnk-4SwqDmLtmXYiTMKHgktTP8We1SCoS47DrQ/edit?usp=sharing"",""จัดที่ดิน!BN85"")"),0)</f>
        <v>0</v>
      </c>
      <c r="K724" s="497"/>
      <c r="L724" s="765"/>
      <c r="M724" s="188"/>
      <c r="N724" s="765"/>
      <c r="O724" s="497"/>
      <c r="P724" s="497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8"/>
      <c r="H725" s="763" t="s">
        <v>46</v>
      </c>
      <c r="I725" s="764">
        <f ca="1">IFERROR(__xludf.DUMMYFUNCTION("IMPORTRANGE(""https://docs.google.com/spreadsheets/d/1QqKyyYR6Q21VydFLVH3TRQUabQu_ym0Zz7PgGX0-kHA/edit?usp=sharing"",""แผน!IM85"")"),0)</f>
        <v>0</v>
      </c>
      <c r="J725" s="269">
        <f ca="1">IFERROR(__xludf.DUMMYFUNCTION("IMPORTRANGE(""https://docs.google.com/spreadsheets/d/1XWAQStnk-4SwqDmLtmXYiTMKHgktTP8We1SCoS47DrQ/edit?usp=sharing"",""จัดที่ดิน!BO85"")"),0)</f>
        <v>0</v>
      </c>
      <c r="K725" s="497">
        <f ca="1">IF(I725&gt;0,J725*100/I725,0)</f>
        <v>0</v>
      </c>
      <c r="L725" s="765"/>
      <c r="M725" s="188"/>
      <c r="N725" s="765"/>
      <c r="O725" s="497"/>
      <c r="P725" s="497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307</v>
      </c>
      <c r="F726" s="762"/>
      <c r="G726" s="188"/>
      <c r="H726" s="763" t="s">
        <v>35</v>
      </c>
      <c r="I726" s="764">
        <f ca="1">IFERROR(__xludf.DUMMYFUNCTION("IMPORTRANGE(""https://docs.google.com/spreadsheets/d/1QqKyyYR6Q21VydFLVH3TRQUabQu_ym0Zz7PgGX0-kHA/edit?usp=sharing"",""แผน!IN85"")"),0)</f>
        <v>0</v>
      </c>
      <c r="J726" s="269">
        <f ca="1">IFERROR(__xludf.DUMMYFUNCTION("IMPORTRANGE(""https://docs.google.com/spreadsheets/d/1XWAQStnk-4SwqDmLtmXYiTMKHgktTP8We1SCoS47DrQ/edit?usp=sharing"",""จัดที่ดิน!BR85"")"),0)</f>
        <v>0</v>
      </c>
      <c r="K726" s="497">
        <f ca="1">IF(I726&gt;0,J726*100/I726,0)</f>
        <v>0</v>
      </c>
      <c r="L726" s="497"/>
      <c r="M726" s="188"/>
      <c r="N726" s="765"/>
      <c r="O726" s="497"/>
      <c r="P726" s="497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8"/>
      <c r="H727" s="763" t="s">
        <v>34</v>
      </c>
      <c r="I727" s="764"/>
      <c r="J727" s="269">
        <f ca="1">IFERROR(__xludf.DUMMYFUNCTION("IMPORTRANGE(""https://docs.google.com/spreadsheets/d/1XWAQStnk-4SwqDmLtmXYiTMKHgktTP8We1SCoS47DrQ/edit?usp=sharing"",""จัดที่ดิน!BS85"")"),0)</f>
        <v>0</v>
      </c>
      <c r="K727" s="497"/>
      <c r="L727" s="765"/>
      <c r="M727" s="188"/>
      <c r="N727" s="765"/>
      <c r="O727" s="497"/>
      <c r="P727" s="497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8"/>
      <c r="H728" s="763" t="s">
        <v>46</v>
      </c>
      <c r="I728" s="764">
        <f ca="1">IFERROR(__xludf.DUMMYFUNCTION("IMPORTRANGE(""https://docs.google.com/spreadsheets/d/1QqKyyYR6Q21VydFLVH3TRQUabQu_ym0Zz7PgGX0-kHA/edit?usp=sharing"",""แผน!IO85"")"),0)</f>
        <v>0</v>
      </c>
      <c r="J728" s="269">
        <f ca="1">IFERROR(__xludf.DUMMYFUNCTION("IMPORTRANGE(""https://docs.google.com/spreadsheets/d/1XWAQStnk-4SwqDmLtmXYiTMKHgktTP8We1SCoS47DrQ/edit?usp=sharing"",""จัดที่ดิน!BT85"")"),0)</f>
        <v>0</v>
      </c>
      <c r="K728" s="497">
        <f ca="1">IF(I728&gt;0,J728*100/I728,0)</f>
        <v>0</v>
      </c>
      <c r="L728" s="765"/>
      <c r="M728" s="188"/>
      <c r="N728" s="765"/>
      <c r="O728" s="497"/>
      <c r="P728" s="497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308</v>
      </c>
      <c r="E729" s="762"/>
      <c r="F729" s="762"/>
      <c r="G729" s="188"/>
      <c r="H729" s="766" t="s">
        <v>46</v>
      </c>
      <c r="I729" s="767">
        <f ca="1">IFERROR(__xludf.DUMMYFUNCTION("IMPORTRANGE(""https://docs.google.com/spreadsheets/d/1QqKyyYR6Q21VydFLVH3TRQUabQu_ym0Zz7PgGX0-kHA/edit?usp=sharing"",""แผน!IP85"")"),0)</f>
        <v>0</v>
      </c>
      <c r="J729" s="680">
        <f>J732+J735</f>
        <v>0</v>
      </c>
      <c r="K729" s="194">
        <f ca="1">IF(I729&gt;0,J729*100/I729,0)</f>
        <v>0</v>
      </c>
      <c r="L729" s="497"/>
      <c r="M729" s="188"/>
      <c r="N729" s="765"/>
      <c r="O729" s="497"/>
      <c r="P729" s="497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309</v>
      </c>
      <c r="F730" s="762"/>
      <c r="G730" s="188"/>
      <c r="H730" s="763" t="s">
        <v>35</v>
      </c>
      <c r="I730" s="764"/>
      <c r="J730" s="214">
        <v>0</v>
      </c>
      <c r="K730" s="497"/>
      <c r="L730" s="765"/>
      <c r="M730" s="497"/>
      <c r="N730" s="765"/>
      <c r="O730" s="497"/>
      <c r="P730" s="497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8"/>
      <c r="H731" s="763" t="s">
        <v>34</v>
      </c>
      <c r="I731" s="764"/>
      <c r="J731" s="214">
        <v>0</v>
      </c>
      <c r="K731" s="497"/>
      <c r="L731" s="765"/>
      <c r="M731" s="497"/>
      <c r="N731" s="765"/>
      <c r="O731" s="497"/>
      <c r="P731" s="497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8"/>
      <c r="H732" s="763" t="s">
        <v>46</v>
      </c>
      <c r="I732" s="764"/>
      <c r="J732" s="214">
        <v>0</v>
      </c>
      <c r="K732" s="497"/>
      <c r="L732" s="765"/>
      <c r="M732" s="497"/>
      <c r="N732" s="765"/>
      <c r="O732" s="497"/>
      <c r="P732" s="497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310</v>
      </c>
      <c r="F733" s="762"/>
      <c r="G733" s="188"/>
      <c r="H733" s="763" t="s">
        <v>35</v>
      </c>
      <c r="I733" s="764"/>
      <c r="J733" s="214">
        <v>0</v>
      </c>
      <c r="K733" s="497"/>
      <c r="L733" s="765"/>
      <c r="M733" s="497"/>
      <c r="N733" s="765"/>
      <c r="O733" s="497"/>
      <c r="P733" s="497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8"/>
      <c r="H734" s="763" t="s">
        <v>34</v>
      </c>
      <c r="I734" s="764"/>
      <c r="J734" s="214">
        <v>0</v>
      </c>
      <c r="K734" s="497"/>
      <c r="L734" s="765"/>
      <c r="M734" s="497"/>
      <c r="N734" s="765"/>
      <c r="O734" s="497"/>
      <c r="P734" s="497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311</v>
      </c>
      <c r="C735" s="733"/>
      <c r="D735" s="733"/>
      <c r="E735" s="733"/>
      <c r="F735" s="733"/>
      <c r="G735" s="734"/>
      <c r="H735" s="422" t="s">
        <v>46</v>
      </c>
      <c r="I735" s="771"/>
      <c r="J735" s="424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312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92" t="s">
        <v>17</v>
      </c>
      <c r="E737" s="888"/>
      <c r="F737" s="888"/>
      <c r="G737" s="602"/>
      <c r="H737" s="645" t="s">
        <v>12</v>
      </c>
      <c r="I737" s="616"/>
      <c r="J737" s="616"/>
      <c r="K737" s="92"/>
      <c r="L737" s="646">
        <f>L738+L739</f>
        <v>0</v>
      </c>
      <c r="M737" s="646">
        <f>M738+M739</f>
        <v>0</v>
      </c>
      <c r="N737" s="646">
        <f>N738+N739</f>
        <v>0</v>
      </c>
      <c r="O737" s="646">
        <f t="shared" ref="O737:O742" si="98">IF(L737&gt;0,N737*100/L737,0)</f>
        <v>0</v>
      </c>
      <c r="P737" s="646">
        <f t="shared" ref="P737:P742" si="99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184</v>
      </c>
      <c r="F738" s="758"/>
      <c r="G738" s="602"/>
      <c r="H738" s="164" t="s">
        <v>12</v>
      </c>
      <c r="I738" s="616"/>
      <c r="J738" s="616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185</v>
      </c>
      <c r="F739" s="758"/>
      <c r="G739" s="602"/>
      <c r="H739" s="164" t="s">
        <v>12</v>
      </c>
      <c r="I739" s="616"/>
      <c r="J739" s="616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5"/>
      <c r="J740" s="165"/>
      <c r="K740" s="166"/>
      <c r="L740" s="646">
        <f>L741+L742</f>
        <v>0</v>
      </c>
      <c r="M740" s="646">
        <f>M741+M742</f>
        <v>0</v>
      </c>
      <c r="N740" s="646">
        <f>N741+N742</f>
        <v>0</v>
      </c>
      <c r="O740" s="646">
        <f t="shared" si="98"/>
        <v>0</v>
      </c>
      <c r="P740" s="646">
        <f t="shared" si="99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184</v>
      </c>
      <c r="F741" s="758"/>
      <c r="G741" s="602"/>
      <c r="H741" s="164" t="s">
        <v>12</v>
      </c>
      <c r="I741" s="616"/>
      <c r="J741" s="616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185</v>
      </c>
      <c r="F742" s="758"/>
      <c r="G742" s="602"/>
      <c r="H742" s="164" t="s">
        <v>12</v>
      </c>
      <c r="I742" s="616"/>
      <c r="J742" s="616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186</v>
      </c>
      <c r="G743" s="602"/>
      <c r="H743" s="164" t="s">
        <v>12</v>
      </c>
      <c r="I743" s="616"/>
      <c r="J743" s="616"/>
      <c r="K743" s="92"/>
      <c r="L743" s="92"/>
      <c r="M743" s="92"/>
      <c r="N743" s="92"/>
      <c r="O743" s="92"/>
      <c r="P743" s="92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187</v>
      </c>
      <c r="G744" s="602"/>
      <c r="H744" s="164" t="s">
        <v>12</v>
      </c>
      <c r="I744" s="616"/>
      <c r="J744" s="616"/>
      <c r="K744" s="92"/>
      <c r="L744" s="92"/>
      <c r="M744" s="92"/>
      <c r="N744" s="92"/>
      <c r="O744" s="92"/>
      <c r="P744" s="92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188</v>
      </c>
      <c r="G745" s="602"/>
      <c r="H745" s="164" t="s">
        <v>12</v>
      </c>
      <c r="I745" s="616"/>
      <c r="J745" s="616"/>
      <c r="K745" s="92"/>
      <c r="L745" s="92"/>
      <c r="M745" s="92"/>
      <c r="N745" s="92"/>
      <c r="O745" s="92"/>
      <c r="P745" s="92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189</v>
      </c>
      <c r="G746" s="602"/>
      <c r="H746" s="164" t="s">
        <v>12</v>
      </c>
      <c r="I746" s="616"/>
      <c r="J746" s="616"/>
      <c r="K746" s="92"/>
      <c r="L746" s="92"/>
      <c r="M746" s="92"/>
      <c r="N746" s="92"/>
      <c r="O746" s="92"/>
      <c r="P746" s="92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5"/>
      <c r="J747" s="165"/>
      <c r="K747" s="166"/>
      <c r="L747" s="646">
        <f>L748+L749</f>
        <v>0</v>
      </c>
      <c r="M747" s="646">
        <f>M748+M749</f>
        <v>0</v>
      </c>
      <c r="N747" s="646">
        <f>N748+N749</f>
        <v>0</v>
      </c>
      <c r="O747" s="646">
        <f>IF(L747&gt;0,N747*100/L747,0)</f>
        <v>0</v>
      </c>
      <c r="P747" s="646">
        <f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39" t="s">
        <v>38</v>
      </c>
      <c r="E750" s="650"/>
      <c r="F750" s="650"/>
      <c r="G750" s="651"/>
      <c r="H750" s="365"/>
      <c r="I750" s="165"/>
      <c r="J750" s="165"/>
      <c r="K750" s="166"/>
      <c r="L750" s="166"/>
      <c r="M750" s="166"/>
      <c r="N750" s="166"/>
      <c r="O750" s="166"/>
      <c r="P750" s="166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313</v>
      </c>
      <c r="F751" s="758"/>
      <c r="G751" s="602"/>
      <c r="H751" s="164" t="s">
        <v>46</v>
      </c>
      <c r="I751" s="616"/>
      <c r="J751" s="616"/>
      <c r="K751" s="92"/>
      <c r="L751" s="92"/>
      <c r="M751" s="92"/>
      <c r="N751" s="92"/>
      <c r="O751" s="92"/>
      <c r="P751" s="92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4" t="s">
        <v>314</v>
      </c>
      <c r="I752" s="616"/>
      <c r="J752" s="616"/>
      <c r="K752" s="92"/>
      <c r="L752" s="92"/>
      <c r="M752" s="92"/>
      <c r="N752" s="92"/>
      <c r="O752" s="92"/>
      <c r="P752" s="92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315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92" t="s">
        <v>17</v>
      </c>
      <c r="E754" s="888"/>
      <c r="F754" s="888"/>
      <c r="G754" s="602"/>
      <c r="H754" s="645" t="s">
        <v>12</v>
      </c>
      <c r="I754" s="616"/>
      <c r="J754" s="616"/>
      <c r="K754" s="92"/>
      <c r="L754" s="646">
        <f>L755+L756</f>
        <v>0</v>
      </c>
      <c r="M754" s="646">
        <f>M755+M756</f>
        <v>0</v>
      </c>
      <c r="N754" s="646">
        <f>N755+N756</f>
        <v>0</v>
      </c>
      <c r="O754" s="646">
        <f t="shared" ref="O754:O759" si="101">IF(L754&gt;0,N754*100/L754,0)</f>
        <v>0</v>
      </c>
      <c r="P754" s="646">
        <f t="shared" ref="P754:P759" si="102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184</v>
      </c>
      <c r="F755" s="758"/>
      <c r="G755" s="602"/>
      <c r="H755" s="164" t="s">
        <v>12</v>
      </c>
      <c r="I755" s="616"/>
      <c r="J755" s="616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185</v>
      </c>
      <c r="F756" s="758"/>
      <c r="G756" s="602"/>
      <c r="H756" s="164" t="s">
        <v>12</v>
      </c>
      <c r="I756" s="616"/>
      <c r="J756" s="616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5"/>
      <c r="J757" s="165"/>
      <c r="K757" s="166"/>
      <c r="L757" s="646">
        <f>L758+L759</f>
        <v>0</v>
      </c>
      <c r="M757" s="646">
        <f>M758+M759</f>
        <v>0</v>
      </c>
      <c r="N757" s="646">
        <f>N758+N759</f>
        <v>0</v>
      </c>
      <c r="O757" s="646">
        <f t="shared" si="101"/>
        <v>0</v>
      </c>
      <c r="P757" s="646">
        <f t="shared" si="102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184</v>
      </c>
      <c r="F758" s="758"/>
      <c r="G758" s="602"/>
      <c r="H758" s="164" t="s">
        <v>12</v>
      </c>
      <c r="I758" s="616"/>
      <c r="J758" s="616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185</v>
      </c>
      <c r="F759" s="758"/>
      <c r="G759" s="602"/>
      <c r="H759" s="164" t="s">
        <v>12</v>
      </c>
      <c r="I759" s="616"/>
      <c r="J759" s="616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186</v>
      </c>
      <c r="G760" s="602"/>
      <c r="H760" s="164" t="s">
        <v>12</v>
      </c>
      <c r="I760" s="616"/>
      <c r="J760" s="616"/>
      <c r="K760" s="92"/>
      <c r="L760" s="92"/>
      <c r="M760" s="92"/>
      <c r="N760" s="92"/>
      <c r="O760" s="92"/>
      <c r="P760" s="92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187</v>
      </c>
      <c r="G761" s="602"/>
      <c r="H761" s="164" t="s">
        <v>12</v>
      </c>
      <c r="I761" s="616"/>
      <c r="J761" s="616"/>
      <c r="K761" s="92"/>
      <c r="L761" s="92"/>
      <c r="M761" s="92"/>
      <c r="N761" s="92"/>
      <c r="O761" s="92"/>
      <c r="P761" s="92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188</v>
      </c>
      <c r="G762" s="602"/>
      <c r="H762" s="164" t="s">
        <v>12</v>
      </c>
      <c r="I762" s="616"/>
      <c r="J762" s="616"/>
      <c r="K762" s="92"/>
      <c r="L762" s="92"/>
      <c r="M762" s="92"/>
      <c r="N762" s="92"/>
      <c r="O762" s="92"/>
      <c r="P762" s="92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189</v>
      </c>
      <c r="G763" s="602"/>
      <c r="H763" s="164" t="s">
        <v>12</v>
      </c>
      <c r="I763" s="616"/>
      <c r="J763" s="616"/>
      <c r="K763" s="92"/>
      <c r="L763" s="92"/>
      <c r="M763" s="92"/>
      <c r="N763" s="92"/>
      <c r="O763" s="92"/>
      <c r="P763" s="92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5"/>
      <c r="J764" s="165"/>
      <c r="K764" s="166"/>
      <c r="L764" s="646">
        <f>L765+L766</f>
        <v>0</v>
      </c>
      <c r="M764" s="646">
        <f>M765+M766</f>
        <v>0</v>
      </c>
      <c r="N764" s="646">
        <f>N765+N766</f>
        <v>0</v>
      </c>
      <c r="O764" s="646">
        <f>IF(L764&gt;0,N764*100/L764,0)</f>
        <v>0</v>
      </c>
      <c r="P764" s="646">
        <f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39" t="s">
        <v>38</v>
      </c>
      <c r="E767" s="650"/>
      <c r="F767" s="650"/>
      <c r="G767" s="651"/>
      <c r="H767" s="365"/>
      <c r="I767" s="165"/>
      <c r="J767" s="165"/>
      <c r="K767" s="166"/>
      <c r="L767" s="166"/>
      <c r="M767" s="166"/>
      <c r="N767" s="166"/>
      <c r="O767" s="166"/>
      <c r="P767" s="166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316</v>
      </c>
      <c r="F768" s="758"/>
      <c r="G768" s="602"/>
      <c r="H768" s="164" t="s">
        <v>46</v>
      </c>
      <c r="I768" s="616"/>
      <c r="J768" s="616"/>
      <c r="K768" s="92"/>
      <c r="L768" s="92"/>
      <c r="M768" s="92"/>
      <c r="N768" s="92"/>
      <c r="O768" s="92"/>
      <c r="P768" s="92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317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92" t="s">
        <v>17</v>
      </c>
      <c r="E770" s="888"/>
      <c r="F770" s="888"/>
      <c r="G770" s="602"/>
      <c r="H770" s="645" t="s">
        <v>12</v>
      </c>
      <c r="I770" s="616"/>
      <c r="J770" s="616"/>
      <c r="K770" s="92"/>
      <c r="L770" s="646">
        <f>L771+L772</f>
        <v>0</v>
      </c>
      <c r="M770" s="646">
        <f>M771+M772</f>
        <v>0</v>
      </c>
      <c r="N770" s="646">
        <f>N771+N772</f>
        <v>0</v>
      </c>
      <c r="O770" s="646">
        <f t="shared" ref="O770:O775" si="104">IF(L770&gt;0,N770*100/L770,0)</f>
        <v>0</v>
      </c>
      <c r="P770" s="646">
        <f t="shared" ref="P770:P775" si="105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184</v>
      </c>
      <c r="F771" s="758"/>
      <c r="G771" s="602"/>
      <c r="H771" s="164" t="s">
        <v>12</v>
      </c>
      <c r="I771" s="616"/>
      <c r="J771" s="616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185</v>
      </c>
      <c r="F772" s="758"/>
      <c r="G772" s="602"/>
      <c r="H772" s="164" t="s">
        <v>12</v>
      </c>
      <c r="I772" s="616"/>
      <c r="J772" s="616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5"/>
      <c r="J773" s="165"/>
      <c r="K773" s="166"/>
      <c r="L773" s="646">
        <f>L774+L775</f>
        <v>0</v>
      </c>
      <c r="M773" s="646">
        <f>M774+M775</f>
        <v>0</v>
      </c>
      <c r="N773" s="646">
        <f>N774+N775</f>
        <v>0</v>
      </c>
      <c r="O773" s="646">
        <f t="shared" si="104"/>
        <v>0</v>
      </c>
      <c r="P773" s="646">
        <f t="shared" si="105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184</v>
      </c>
      <c r="F774" s="758"/>
      <c r="G774" s="602"/>
      <c r="H774" s="164" t="s">
        <v>12</v>
      </c>
      <c r="I774" s="616"/>
      <c r="J774" s="616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185</v>
      </c>
      <c r="F775" s="758"/>
      <c r="G775" s="602"/>
      <c r="H775" s="164" t="s">
        <v>12</v>
      </c>
      <c r="I775" s="616"/>
      <c r="J775" s="616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186</v>
      </c>
      <c r="G776" s="602"/>
      <c r="H776" s="164" t="s">
        <v>12</v>
      </c>
      <c r="I776" s="616"/>
      <c r="J776" s="616"/>
      <c r="K776" s="92"/>
      <c r="L776" s="92"/>
      <c r="M776" s="92"/>
      <c r="N776" s="92"/>
      <c r="O776" s="92"/>
      <c r="P776" s="92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187</v>
      </c>
      <c r="G777" s="602"/>
      <c r="H777" s="164" t="s">
        <v>12</v>
      </c>
      <c r="I777" s="616"/>
      <c r="J777" s="616"/>
      <c r="K777" s="92"/>
      <c r="L777" s="92"/>
      <c r="M777" s="92"/>
      <c r="N777" s="92"/>
      <c r="O777" s="92"/>
      <c r="P777" s="92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188</v>
      </c>
      <c r="G778" s="602"/>
      <c r="H778" s="164" t="s">
        <v>12</v>
      </c>
      <c r="I778" s="616"/>
      <c r="J778" s="616"/>
      <c r="K778" s="92"/>
      <c r="L778" s="92"/>
      <c r="M778" s="92"/>
      <c r="N778" s="92"/>
      <c r="O778" s="92"/>
      <c r="P778" s="92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189</v>
      </c>
      <c r="G779" s="602"/>
      <c r="H779" s="164" t="s">
        <v>12</v>
      </c>
      <c r="I779" s="616"/>
      <c r="J779" s="616"/>
      <c r="K779" s="92"/>
      <c r="L779" s="92"/>
      <c r="M779" s="92"/>
      <c r="N779" s="92"/>
      <c r="O779" s="92"/>
      <c r="P779" s="92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5"/>
      <c r="J780" s="165"/>
      <c r="K780" s="166"/>
      <c r="L780" s="646">
        <f>L781+L782</f>
        <v>0</v>
      </c>
      <c r="M780" s="646">
        <f>M781+M782</f>
        <v>0</v>
      </c>
      <c r="N780" s="646">
        <f>N781+N782</f>
        <v>0</v>
      </c>
      <c r="O780" s="646">
        <f>IF(L780&gt;0,N780*100/L780,0)</f>
        <v>0</v>
      </c>
      <c r="P780" s="646">
        <f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39" t="s">
        <v>38</v>
      </c>
      <c r="E783" s="650"/>
      <c r="F783" s="650"/>
      <c r="G783" s="651"/>
      <c r="H783" s="800"/>
      <c r="I783" s="165"/>
      <c r="J783" s="165"/>
      <c r="K783" s="166"/>
      <c r="L783" s="166"/>
      <c r="M783" s="166"/>
      <c r="N783" s="166"/>
      <c r="O783" s="166"/>
      <c r="P783" s="166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318</v>
      </c>
      <c r="F784" s="758"/>
      <c r="G784" s="602"/>
      <c r="H784" s="164" t="s">
        <v>46</v>
      </c>
      <c r="I784" s="616"/>
      <c r="J784" s="616"/>
      <c r="K784" s="92"/>
      <c r="L784" s="92"/>
      <c r="M784" s="92"/>
      <c r="N784" s="92"/>
      <c r="O784" s="92"/>
      <c r="P784" s="92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319</v>
      </c>
      <c r="C785" s="803"/>
      <c r="D785" s="803"/>
      <c r="E785" s="803"/>
      <c r="F785" s="803"/>
      <c r="G785" s="804"/>
      <c r="H785" s="805" t="s">
        <v>46</v>
      </c>
      <c r="I785" s="806">
        <f ca="1">I800</f>
        <v>0</v>
      </c>
      <c r="J785" s="807">
        <f ca="1">J800</f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87" t="s">
        <v>17</v>
      </c>
      <c r="E786" s="888"/>
      <c r="F786" s="888"/>
      <c r="G786" s="188"/>
      <c r="H786" s="597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184</v>
      </c>
      <c r="F787" s="758"/>
      <c r="G787" s="602"/>
      <c r="H787" s="164" t="s">
        <v>12</v>
      </c>
      <c r="I787" s="616"/>
      <c r="J787" s="616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185</v>
      </c>
      <c r="F788" s="758"/>
      <c r="G788" s="602"/>
      <c r="H788" s="164" t="s">
        <v>12</v>
      </c>
      <c r="I788" s="616"/>
      <c r="J788" s="616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184</v>
      </c>
      <c r="F790" s="758"/>
      <c r="G790" s="602"/>
      <c r="H790" s="164" t="s">
        <v>12</v>
      </c>
      <c r="I790" s="616"/>
      <c r="J790" s="616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185</v>
      </c>
      <c r="F791" s="758"/>
      <c r="G791" s="602"/>
      <c r="H791" s="164" t="s">
        <v>12</v>
      </c>
      <c r="I791" s="616"/>
      <c r="J791" s="616"/>
      <c r="K791" s="92"/>
      <c r="L791" s="92">
        <f ca="1">IFERROR(__xludf.DUMMYFUNCTION("IMPORTRANGE(""https://docs.google.com/spreadsheets/d/1QqKyyYR6Q21VydFLVH3TRQUabQu_ym0Zz7PgGX0-kHA/edit?usp=sharing"",""แผน!JJ85"")"),0)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826">
        <v>0</v>
      </c>
      <c r="O792" s="497"/>
      <c r="P792" s="497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826">
        <v>0</v>
      </c>
      <c r="O793" s="497"/>
      <c r="P793" s="497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826">
        <v>0</v>
      </c>
      <c r="O794" s="497"/>
      <c r="P794" s="497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826">
        <v>0</v>
      </c>
      <c r="O795" s="497"/>
      <c r="P795" s="497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38" t="s">
        <v>38</v>
      </c>
      <c r="E799" s="760"/>
      <c r="F799" s="760"/>
      <c r="G799" s="612"/>
      <c r="H799" s="810"/>
      <c r="I799" s="183"/>
      <c r="J799" s="183"/>
      <c r="K799" s="162"/>
      <c r="L799" s="162"/>
      <c r="M799" s="162"/>
      <c r="N799" s="162"/>
      <c r="O799" s="162"/>
      <c r="P799" s="162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320</v>
      </c>
      <c r="G800" s="761"/>
      <c r="H800" s="184" t="s">
        <v>46</v>
      </c>
      <c r="I800" s="183">
        <f ca="1">IFERROR(__xludf.DUMMYFUNCTION("IMPORTRANGE(""https://docs.google.com/spreadsheets/d/1QqKyyYR6Q21VydFLVH3TRQUabQu_ym0Zz7PgGX0-kHA/edit?usp=sharing"",""แผน!JN85"")"),0)</f>
        <v>0</v>
      </c>
      <c r="J800" s="183">
        <f ca="1">IFERROR(__xludf.DUMMYFUNCTION("IMPORTRANGE(""https://docs.google.com/spreadsheets/d/1MaWodYyGHDf7siQLGxnXhG4mBNTNIuy296niS2xXulU/edit?usp=sharing"",""RTK!H85"")"),0)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IFERROR(__xludf.DUMMYFUNCTION("IMPORTRANGE(""https://docs.google.com/spreadsheets/d/1MaWodYyGHDf7siQLGxnXhG4mBNTNIuy296niS2xXulU/edit?usp=sharing"",""RTK!I85"")"),0)</f>
        <v>0</v>
      </c>
      <c r="K801" s="497"/>
      <c r="L801" s="497"/>
      <c r="M801" s="497"/>
      <c r="N801" s="497"/>
      <c r="O801" s="162"/>
      <c r="P801" s="162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321</v>
      </c>
      <c r="G802" s="365"/>
      <c r="H802" s="652" t="s">
        <v>46</v>
      </c>
      <c r="I802" s="165"/>
      <c r="J802" s="616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5"/>
      <c r="H803" s="652" t="s">
        <v>34</v>
      </c>
      <c r="I803" s="165"/>
      <c r="J803" s="616">
        <v>0</v>
      </c>
      <c r="K803" s="166"/>
      <c r="L803" s="166"/>
      <c r="M803" s="166"/>
      <c r="N803" s="166"/>
      <c r="O803" s="166"/>
      <c r="P803" s="166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322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92" t="s">
        <v>17</v>
      </c>
      <c r="E805" s="888"/>
      <c r="F805" s="888"/>
      <c r="G805" s="602"/>
      <c r="H805" s="645" t="s">
        <v>12</v>
      </c>
      <c r="I805" s="616"/>
      <c r="J805" s="616"/>
      <c r="K805" s="92"/>
      <c r="L805" s="646">
        <f>L806+L807</f>
        <v>0</v>
      </c>
      <c r="M805" s="646">
        <f>M806+M807</f>
        <v>0</v>
      </c>
      <c r="N805" s="646">
        <f>N806+N807</f>
        <v>0</v>
      </c>
      <c r="O805" s="646">
        <f t="shared" ref="O805:O810" si="110">IF(L805&gt;0,N805*100/L805,0)</f>
        <v>0</v>
      </c>
      <c r="P805" s="646">
        <f t="shared" ref="P805:P810" si="111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184</v>
      </c>
      <c r="F806" s="758"/>
      <c r="G806" s="602"/>
      <c r="H806" s="164" t="s">
        <v>12</v>
      </c>
      <c r="I806" s="616"/>
      <c r="J806" s="616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185</v>
      </c>
      <c r="F807" s="758"/>
      <c r="G807" s="602"/>
      <c r="H807" s="164" t="s">
        <v>12</v>
      </c>
      <c r="I807" s="616"/>
      <c r="J807" s="616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912" t="s">
        <v>20</v>
      </c>
      <c r="E808" s="888"/>
      <c r="F808" s="888"/>
      <c r="G808" s="602"/>
      <c r="H808" s="645" t="s">
        <v>12</v>
      </c>
      <c r="I808" s="165"/>
      <c r="J808" s="165"/>
      <c r="K808" s="166"/>
      <c r="L808" s="646">
        <f>L809+L810</f>
        <v>0</v>
      </c>
      <c r="M808" s="646">
        <f>M809+M810</f>
        <v>0</v>
      </c>
      <c r="N808" s="646">
        <f>N809+N810</f>
        <v>0</v>
      </c>
      <c r="O808" s="646">
        <f t="shared" si="110"/>
        <v>0</v>
      </c>
      <c r="P808" s="646">
        <f t="shared" si="111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184</v>
      </c>
      <c r="F809" s="758"/>
      <c r="G809" s="602"/>
      <c r="H809" s="164" t="s">
        <v>12</v>
      </c>
      <c r="I809" s="616"/>
      <c r="J809" s="616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185</v>
      </c>
      <c r="F810" s="758"/>
      <c r="G810" s="602"/>
      <c r="H810" s="164" t="s">
        <v>12</v>
      </c>
      <c r="I810" s="616"/>
      <c r="J810" s="616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186</v>
      </c>
      <c r="G811" s="602"/>
      <c r="H811" s="164" t="s">
        <v>12</v>
      </c>
      <c r="I811" s="616"/>
      <c r="J811" s="616"/>
      <c r="K811" s="92"/>
      <c r="L811" s="92"/>
      <c r="M811" s="92"/>
      <c r="N811" s="92"/>
      <c r="O811" s="92"/>
      <c r="P811" s="92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187</v>
      </c>
      <c r="G812" s="602"/>
      <c r="H812" s="164" t="s">
        <v>12</v>
      </c>
      <c r="I812" s="616"/>
      <c r="J812" s="616"/>
      <c r="K812" s="92"/>
      <c r="L812" s="92"/>
      <c r="M812" s="92"/>
      <c r="N812" s="92"/>
      <c r="O812" s="92"/>
      <c r="P812" s="92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188</v>
      </c>
      <c r="G813" s="602"/>
      <c r="H813" s="164" t="s">
        <v>12</v>
      </c>
      <c r="I813" s="616"/>
      <c r="J813" s="616"/>
      <c r="K813" s="92"/>
      <c r="L813" s="92"/>
      <c r="M813" s="92"/>
      <c r="N813" s="92"/>
      <c r="O813" s="92"/>
      <c r="P813" s="92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189</v>
      </c>
      <c r="G814" s="602"/>
      <c r="H814" s="164" t="s">
        <v>12</v>
      </c>
      <c r="I814" s="616"/>
      <c r="J814" s="616"/>
      <c r="K814" s="92"/>
      <c r="L814" s="92"/>
      <c r="M814" s="92"/>
      <c r="N814" s="92"/>
      <c r="O814" s="92"/>
      <c r="P814" s="92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912" t="s">
        <v>21</v>
      </c>
      <c r="E815" s="888"/>
      <c r="F815" s="888"/>
      <c r="G815" s="602"/>
      <c r="H815" s="782" t="s">
        <v>12</v>
      </c>
      <c r="I815" s="165"/>
      <c r="J815" s="165"/>
      <c r="K815" s="166"/>
      <c r="L815" s="646">
        <f>L816+L817</f>
        <v>0</v>
      </c>
      <c r="M815" s="646">
        <f>M816+M817</f>
        <v>0</v>
      </c>
      <c r="N815" s="646">
        <f>N816+N817</f>
        <v>0</v>
      </c>
      <c r="O815" s="646">
        <f>IF(L815&gt;0,N815*100/L815,0)</f>
        <v>0</v>
      </c>
      <c r="P815" s="646">
        <f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37" t="s">
        <v>38</v>
      </c>
      <c r="E818" s="650"/>
      <c r="F818" s="650"/>
      <c r="G818" s="651"/>
      <c r="H818" s="365"/>
      <c r="I818" s="165"/>
      <c r="J818" s="165"/>
      <c r="K818" s="166"/>
      <c r="L818" s="166"/>
      <c r="M818" s="166"/>
      <c r="N818" s="166"/>
      <c r="O818" s="166"/>
      <c r="P818" s="166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323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36" t="s">
        <v>340</v>
      </c>
      <c r="B820" s="834"/>
      <c r="C820" s="834"/>
      <c r="D820" s="835"/>
      <c r="E820" s="834"/>
      <c r="F820" s="834"/>
      <c r="G820" s="833"/>
      <c r="H820" s="832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1"/>
      <c r="J820" s="831"/>
      <c r="K820" s="830"/>
      <c r="L820" s="830"/>
      <c r="M820" s="830"/>
      <c r="N820" s="830"/>
      <c r="O820" s="830"/>
      <c r="P820" s="83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325</v>
      </c>
      <c r="C821" s="762"/>
      <c r="D821" s="574"/>
      <c r="E821" s="762"/>
      <c r="F821" s="762"/>
      <c r="G821" s="188"/>
      <c r="H821" s="622" t="s">
        <v>12</v>
      </c>
      <c r="I821" s="269">
        <f ca="1">IFERROR(__xludf.DUMMYFUNCTION("IMPORTRANGE(""https://docs.google.com/spreadsheets/d/19vJNZY_5yjcGF2XGBMNZRCAIB0Kwfpjp8YEOfu-bneM/edit?usp=sharing"",""งานกองทุน!D85"")"),1218366.9)</f>
        <v>1218366.8999999999</v>
      </c>
      <c r="J821" s="269">
        <f ca="1">IFERROR(__xludf.DUMMYFUNCTION("IMPORTRANGE(""https://docs.google.com/spreadsheets/d/19vJNZY_5yjcGF2XGBMNZRCAIB0Kwfpjp8YEOfu-bneM/edit?usp=sharing"",""งานกองทุน!F85"")"),1240537.48)</f>
        <v>1240537.48</v>
      </c>
      <c r="K821" s="497">
        <f t="shared" ref="K821:K828" ca="1" si="113">IF(I821&gt;0,J821*100/I821,0)</f>
        <v>101.81969651342301</v>
      </c>
      <c r="L821" s="497"/>
      <c r="M821" s="497"/>
      <c r="N821" s="497"/>
      <c r="O821" s="497"/>
      <c r="P821" s="497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8"/>
      <c r="H822" s="622" t="s">
        <v>35</v>
      </c>
      <c r="I822" s="269">
        <f ca="1">IFERROR(__xludf.DUMMYFUNCTION("IMPORTRANGE(""https://docs.google.com/spreadsheets/d/19vJNZY_5yjcGF2XGBMNZRCAIB0Kwfpjp8YEOfu-bneM/edit?usp=sharing"",""งานกองทุน!C85"")"),122)</f>
        <v>122</v>
      </c>
      <c r="J822" s="269">
        <f ca="1">IFERROR(__xludf.DUMMYFUNCTION("IMPORTRANGE(""https://docs.google.com/spreadsheets/d/19vJNZY_5yjcGF2XGBMNZRCAIB0Kwfpjp8YEOfu-bneM/edit?usp=sharing"",""งานกองทุน!E85"")"),122)</f>
        <v>122</v>
      </c>
      <c r="K822" s="497">
        <f t="shared" ca="1" si="113"/>
        <v>100</v>
      </c>
      <c r="L822" s="497"/>
      <c r="M822" s="497"/>
      <c r="N822" s="497"/>
      <c r="O822" s="497"/>
      <c r="P822" s="497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326</v>
      </c>
      <c r="C823" s="762"/>
      <c r="D823" s="574"/>
      <c r="E823" s="762"/>
      <c r="F823" s="762"/>
      <c r="G823" s="188"/>
      <c r="H823" s="622" t="s">
        <v>12</v>
      </c>
      <c r="I823" s="269">
        <f ca="1">IFERROR(__xludf.DUMMYFUNCTION("IMPORTRANGE(""https://docs.google.com/spreadsheets/d/19vJNZY_5yjcGF2XGBMNZRCAIB0Kwfpjp8YEOfu-bneM/edit?usp=sharing"",""งานกองทุน!I85"")"),2047064.98)</f>
        <v>2047064.98</v>
      </c>
      <c r="J823" s="269">
        <f ca="1">IFERROR(__xludf.DUMMYFUNCTION("IMPORTRANGE(""https://docs.google.com/spreadsheets/d/19vJNZY_5yjcGF2XGBMNZRCAIB0Kwfpjp8YEOfu-bneM/edit?usp=sharing"",""งานกองทุน!K85"")"),725679.33)</f>
        <v>725679.33</v>
      </c>
      <c r="K823" s="497">
        <f t="shared" ca="1" si="113"/>
        <v>35.449745713494643</v>
      </c>
      <c r="L823" s="497"/>
      <c r="M823" s="497"/>
      <c r="N823" s="497"/>
      <c r="O823" s="497"/>
      <c r="P823" s="497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8"/>
      <c r="H824" s="622" t="s">
        <v>35</v>
      </c>
      <c r="I824" s="269">
        <f ca="1">IFERROR(__xludf.DUMMYFUNCTION("IMPORTRANGE(""https://docs.google.com/spreadsheets/d/19vJNZY_5yjcGF2XGBMNZRCAIB0Kwfpjp8YEOfu-bneM/edit?usp=sharing"",""งานกองทุน!H85"")"),124)</f>
        <v>124</v>
      </c>
      <c r="J824" s="269">
        <f ca="1">IFERROR(__xludf.DUMMYFUNCTION("IMPORTRANGE(""https://docs.google.com/spreadsheets/d/19vJNZY_5yjcGF2XGBMNZRCAIB0Kwfpjp8YEOfu-bneM/edit?usp=sharing"",""งานกองทุน!J85"")"),76)</f>
        <v>76</v>
      </c>
      <c r="K824" s="497">
        <f t="shared" ca="1" si="113"/>
        <v>61.29032258064516</v>
      </c>
      <c r="L824" s="497"/>
      <c r="M824" s="497"/>
      <c r="N824" s="497"/>
      <c r="O824" s="497"/>
      <c r="P824" s="497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327</v>
      </c>
      <c r="C825" s="762"/>
      <c r="D825" s="574"/>
      <c r="E825" s="762"/>
      <c r="F825" s="762"/>
      <c r="G825" s="188"/>
      <c r="H825" s="622" t="s">
        <v>12</v>
      </c>
      <c r="I825" s="269">
        <f ca="1">IFERROR(__xludf.DUMMYFUNCTION("IMPORTRANGE(""https://docs.google.com/spreadsheets/d/19vJNZY_5yjcGF2XGBMNZRCAIB0Kwfpjp8YEOfu-bneM/edit?usp=sharing"",""งานกองทุน!N85"")"),0)</f>
        <v>0</v>
      </c>
      <c r="J825" s="269">
        <f ca="1">IFERROR(__xludf.DUMMYFUNCTION("IMPORTRANGE(""https://docs.google.com/spreadsheets/d/19vJNZY_5yjcGF2XGBMNZRCAIB0Kwfpjp8YEOfu-bneM/edit?usp=sharing"",""งานกองทุน!P85"")"),0)</f>
        <v>0</v>
      </c>
      <c r="K825" s="497">
        <f t="shared" ca="1" si="113"/>
        <v>0</v>
      </c>
      <c r="L825" s="497"/>
      <c r="M825" s="497"/>
      <c r="N825" s="497"/>
      <c r="O825" s="497"/>
      <c r="P825" s="497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8"/>
      <c r="H826" s="622" t="s">
        <v>35</v>
      </c>
      <c r="I826" s="269">
        <f ca="1">IFERROR(__xludf.DUMMYFUNCTION("IMPORTRANGE(""https://docs.google.com/spreadsheets/d/19vJNZY_5yjcGF2XGBMNZRCAIB0Kwfpjp8YEOfu-bneM/edit?usp=sharing"",""งานกองทุน!M85"")"),0)</f>
        <v>0</v>
      </c>
      <c r="J826" s="269">
        <f ca="1">IFERROR(__xludf.DUMMYFUNCTION("IMPORTRANGE(""https://docs.google.com/spreadsheets/d/19vJNZY_5yjcGF2XGBMNZRCAIB0Kwfpjp8YEOfu-bneM/edit?usp=sharing"",""งานกองทุน!O85"")"),0)</f>
        <v>0</v>
      </c>
      <c r="K826" s="497">
        <f t="shared" ca="1" si="113"/>
        <v>0</v>
      </c>
      <c r="L826" s="497"/>
      <c r="M826" s="497"/>
      <c r="N826" s="497"/>
      <c r="O826" s="497"/>
      <c r="P826" s="497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328</v>
      </c>
      <c r="C827" s="762"/>
      <c r="D827" s="574"/>
      <c r="E827" s="762"/>
      <c r="F827" s="762"/>
      <c r="G827" s="188"/>
      <c r="H827" s="622" t="s">
        <v>12</v>
      </c>
      <c r="I827" s="269">
        <f ca="1">IFERROR(__xludf.DUMMYFUNCTION("IMPORTRANGE(""https://docs.google.com/spreadsheets/d/19vJNZY_5yjcGF2XGBMNZRCAIB0Kwfpjp8YEOfu-bneM/edit?usp=sharing"",""งานกองทุน!S85"")"),1700000)</f>
        <v>1700000</v>
      </c>
      <c r="J827" s="269">
        <f ca="1">IFERROR(__xludf.DUMMYFUNCTION("IMPORTRANGE(""https://docs.google.com/spreadsheets/d/19vJNZY_5yjcGF2XGBMNZRCAIB0Kwfpjp8YEOfu-bneM/edit?usp=sharing"",""งานกองทุน!U85"")"),1700000)</f>
        <v>1700000</v>
      </c>
      <c r="K827" s="497">
        <f t="shared" ca="1" si="113"/>
        <v>100</v>
      </c>
      <c r="L827" s="497"/>
      <c r="M827" s="497"/>
      <c r="N827" s="497"/>
      <c r="O827" s="497"/>
      <c r="P827" s="497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827"/>
      <c r="B828" s="748"/>
      <c r="C828" s="748"/>
      <c r="D828" s="747"/>
      <c r="E828" s="748"/>
      <c r="F828" s="748"/>
      <c r="G828" s="828"/>
      <c r="H828" s="829" t="s">
        <v>35</v>
      </c>
      <c r="I828" s="505">
        <f ca="1">IFERROR(__xludf.DUMMYFUNCTION("IMPORTRANGE(""https://docs.google.com/spreadsheets/d/19vJNZY_5yjcGF2XGBMNZRCAIB0Kwfpjp8YEOfu-bneM/edit?usp=sharing"",""งานกองทุน!R85"")"),68)</f>
        <v>68</v>
      </c>
      <c r="J828" s="505">
        <f ca="1">IFERROR(__xludf.DUMMYFUNCTION("IMPORTRANGE(""https://docs.google.com/spreadsheets/d/19vJNZY_5yjcGF2XGBMNZRCAIB0Kwfpjp8YEOfu-bneM/edit?usp=sharing"",""งานกองทุน!T85"")"),66)</f>
        <v>66</v>
      </c>
      <c r="K828" s="506">
        <f t="shared" ca="1" si="113"/>
        <v>97.058823529411768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 gridLines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C516E-750E-4721-A703-06BDD7B05F44}">
  <sheetPr>
    <outlinePr summaryBelow="0" summaryRight="0"/>
    <pageSetUpPr fitToPage="1"/>
  </sheetPr>
  <dimension ref="A1:Z828"/>
  <sheetViews>
    <sheetView view="pageBreakPreview" zoomScale="50" zoomScaleNormal="10" zoomScaleSheetLayoutView="50" workbookViewId="0">
      <pane ySplit="6" topLeftCell="A7" activePane="bottomLeft" state="frozen"/>
      <selection activeCell="X18" sqref="X18:X21"/>
      <selection pane="bottomLeft" activeCell="X18" sqref="X18:X2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20.140625" bestFit="1" customWidth="1"/>
    <col min="16" max="16" width="22" bestFit="1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351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354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4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5254703</v>
      </c>
      <c r="M8" s="21">
        <f ca="1">M9+M10</f>
        <v>6222283.5100000007</v>
      </c>
      <c r="N8" s="21">
        <f ca="1">N9+N10</f>
        <v>6222283.5100000007</v>
      </c>
      <c r="O8" s="21">
        <f t="shared" ref="O8:O16" ca="1" si="0">IF(L8&gt;0,N8*100/L8,0)</f>
        <v>118.41360986529592</v>
      </c>
      <c r="P8" s="21">
        <f t="shared" ref="P8:P16" ca="1" si="1">IF(M8&gt;0,N8*100/M8,0)</f>
        <v>100.00000000000001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5254703</v>
      </c>
      <c r="M10" s="29">
        <f t="shared" ca="1" si="2"/>
        <v>6222283.5100000007</v>
      </c>
      <c r="N10" s="29">
        <f t="shared" ca="1" si="2"/>
        <v>6222283.5100000007</v>
      </c>
      <c r="O10" s="29">
        <f t="shared" ca="1" si="0"/>
        <v>118.41360986529592</v>
      </c>
      <c r="P10" s="29">
        <f t="shared" ca="1" si="1"/>
        <v>100.00000000000001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22" t="s">
        <v>12</v>
      </c>
      <c r="I11" s="269"/>
      <c r="J11" s="269"/>
      <c r="K11" s="497"/>
      <c r="L11" s="497">
        <f ca="1">L12+L13</f>
        <v>5084003</v>
      </c>
      <c r="M11" s="497">
        <f ca="1">M12+M13</f>
        <v>5977372.5700000003</v>
      </c>
      <c r="N11" s="497">
        <f ca="1">N12+N13</f>
        <v>5977372.5700000003</v>
      </c>
      <c r="O11" s="497">
        <f t="shared" ca="1" si="0"/>
        <v>117.57216842712327</v>
      </c>
      <c r="P11" s="497">
        <f t="shared" ca="1" si="1"/>
        <v>100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6"/>
      <c r="J12" s="616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6"/>
      <c r="J13" s="616"/>
      <c r="K13" s="92"/>
      <c r="L13" s="92">
        <f t="shared" ca="1" si="3"/>
        <v>5084003</v>
      </c>
      <c r="M13" s="92">
        <f t="shared" ca="1" si="3"/>
        <v>5977372.5700000003</v>
      </c>
      <c r="N13" s="92">
        <f t="shared" ca="1" si="3"/>
        <v>5977372.5700000003</v>
      </c>
      <c r="O13" s="92">
        <f t="shared" ca="1" si="0"/>
        <v>117.57216842712327</v>
      </c>
      <c r="P13" s="92">
        <f t="shared" ca="1" si="1"/>
        <v>100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22" t="s">
        <v>12</v>
      </c>
      <c r="I14" s="269"/>
      <c r="J14" s="269"/>
      <c r="K14" s="497"/>
      <c r="L14" s="497">
        <f ca="1">L15+L16</f>
        <v>170700</v>
      </c>
      <c r="M14" s="497">
        <f ca="1">M15+M16</f>
        <v>244910.94</v>
      </c>
      <c r="N14" s="497">
        <f ca="1">N15+N16</f>
        <v>244910.94</v>
      </c>
      <c r="O14" s="497">
        <f t="shared" ca="1" si="0"/>
        <v>143.47448154657295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6"/>
      <c r="J15" s="616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170700</v>
      </c>
      <c r="M16" s="51">
        <f t="shared" ca="1" si="4"/>
        <v>244910.94</v>
      </c>
      <c r="N16" s="51">
        <f t="shared" ca="1" si="4"/>
        <v>244910.94</v>
      </c>
      <c r="O16" s="51">
        <f t="shared" ca="1" si="0"/>
        <v>143.47448154657295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3382730</v>
      </c>
      <c r="M18" s="21">
        <f ca="1">M19+M20</f>
        <v>3848863.81</v>
      </c>
      <c r="N18" s="21">
        <f ca="1">N19+N20</f>
        <v>3848863.81</v>
      </c>
      <c r="O18" s="21">
        <f t="shared" ref="O18:O26" ca="1" si="5">IF(L18&gt;0,N18*100/L18,0)</f>
        <v>113.77981127669072</v>
      </c>
      <c r="P18" s="21">
        <f t="shared" ref="P18:P26" ca="1" si="6">IF(M18&gt;0,N18*100/M18,0)</f>
        <v>100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3382730</v>
      </c>
      <c r="M20" s="29">
        <f t="shared" ca="1" si="7"/>
        <v>3848863.81</v>
      </c>
      <c r="N20" s="29">
        <f t="shared" ca="1" si="7"/>
        <v>3848863.81</v>
      </c>
      <c r="O20" s="29">
        <f t="shared" ca="1" si="5"/>
        <v>113.77981127669072</v>
      </c>
      <c r="P20" s="29">
        <f t="shared" ca="1" si="6"/>
        <v>100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22" t="s">
        <v>12</v>
      </c>
      <c r="I21" s="269"/>
      <c r="J21" s="269"/>
      <c r="K21" s="497"/>
      <c r="L21" s="497">
        <f ca="1">L22+L23</f>
        <v>3212030</v>
      </c>
      <c r="M21" s="497">
        <f ca="1">M22+M23</f>
        <v>3603952.87</v>
      </c>
      <c r="N21" s="497">
        <f ca="1">N22+N23</f>
        <v>3603952.87</v>
      </c>
      <c r="O21" s="497">
        <f t="shared" ca="1" si="5"/>
        <v>112.20171885069567</v>
      </c>
      <c r="P21" s="497">
        <f t="shared" ca="1" si="6"/>
        <v>100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6"/>
      <c r="J22" s="616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6"/>
      <c r="J23" s="616"/>
      <c r="K23" s="92"/>
      <c r="L23" s="92">
        <f t="shared" ca="1" si="8"/>
        <v>3212030</v>
      </c>
      <c r="M23" s="92">
        <f t="shared" ca="1" si="8"/>
        <v>3603952.87</v>
      </c>
      <c r="N23" s="92">
        <f t="shared" ca="1" si="8"/>
        <v>3603952.87</v>
      </c>
      <c r="O23" s="92">
        <f t="shared" ca="1" si="5"/>
        <v>112.20171885069567</v>
      </c>
      <c r="P23" s="92">
        <f t="shared" ca="1" si="6"/>
        <v>100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22" t="s">
        <v>12</v>
      </c>
      <c r="I24" s="269"/>
      <c r="J24" s="269"/>
      <c r="K24" s="497"/>
      <c r="L24" s="497">
        <f ca="1">L25+L26</f>
        <v>170700</v>
      </c>
      <c r="M24" s="497">
        <f ca="1">M25+M26</f>
        <v>244910.94</v>
      </c>
      <c r="N24" s="497">
        <f ca="1">N25+N26</f>
        <v>244910.94</v>
      </c>
      <c r="O24" s="497">
        <f t="shared" ca="1" si="5"/>
        <v>143.47448154657295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6"/>
      <c r="J25" s="616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170700</v>
      </c>
      <c r="M26" s="51">
        <f t="shared" ca="1" si="9"/>
        <v>244910.94</v>
      </c>
      <c r="N26" s="51">
        <f t="shared" ca="1" si="9"/>
        <v>244910.94</v>
      </c>
      <c r="O26" s="51">
        <f t="shared" ca="1" si="5"/>
        <v>143.47448154657295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1871973</v>
      </c>
      <c r="M28" s="21">
        <f ca="1">M29+M30</f>
        <v>2373419.7000000002</v>
      </c>
      <c r="N28" s="21">
        <f>N29+N30</f>
        <v>2373419.7000000002</v>
      </c>
      <c r="O28" s="21">
        <f t="shared" ref="O28:O37" ca="1" si="10">IF(L28&gt;0,N28*100/L28,0)</f>
        <v>126.78706904426508</v>
      </c>
      <c r="P28" s="21">
        <f t="shared" ref="P28:P37" ca="1" si="11">IF(M28&gt;0,N28*100/M28,0)</f>
        <v>100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1871973</v>
      </c>
      <c r="M30" s="29">
        <f t="shared" ca="1" si="12"/>
        <v>2373419.7000000002</v>
      </c>
      <c r="N30" s="29">
        <f t="shared" si="12"/>
        <v>2373419.7000000002</v>
      </c>
      <c r="O30" s="29">
        <f t="shared" ca="1" si="10"/>
        <v>126.78706904426508</v>
      </c>
      <c r="P30" s="29">
        <f t="shared" ca="1" si="11"/>
        <v>100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22" t="s">
        <v>12</v>
      </c>
      <c r="I31" s="269"/>
      <c r="J31" s="269"/>
      <c r="K31" s="497"/>
      <c r="L31" s="497">
        <f ca="1">L32+L33</f>
        <v>1871973</v>
      </c>
      <c r="M31" s="497">
        <f ca="1">M32+M33</f>
        <v>2373419.7000000002</v>
      </c>
      <c r="N31" s="497">
        <f>N32+N33</f>
        <v>2373419.7000000002</v>
      </c>
      <c r="O31" s="497">
        <f t="shared" ca="1" si="10"/>
        <v>126.78706904426508</v>
      </c>
      <c r="P31" s="497">
        <f t="shared" ca="1" si="11"/>
        <v>100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6"/>
      <c r="J32" s="616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6"/>
      <c r="J33" s="616"/>
      <c r="K33" s="92"/>
      <c r="L33" s="92">
        <f t="shared" ca="1" si="13"/>
        <v>1871973</v>
      </c>
      <c r="M33" s="92">
        <f t="shared" ca="1" si="13"/>
        <v>2373419.7000000002</v>
      </c>
      <c r="N33" s="92">
        <f t="shared" si="13"/>
        <v>2373419.7000000002</v>
      </c>
      <c r="O33" s="92">
        <f t="shared" ca="1" si="10"/>
        <v>126.78706904426508</v>
      </c>
      <c r="P33" s="92">
        <f t="shared" ca="1" si="11"/>
        <v>100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22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6"/>
      <c r="J35" s="616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868" t="s">
        <v>24</v>
      </c>
      <c r="B37" s="867"/>
      <c r="C37" s="867"/>
      <c r="D37" s="867"/>
      <c r="E37" s="867"/>
      <c r="F37" s="867"/>
      <c r="G37" s="866"/>
      <c r="H37" s="865"/>
      <c r="I37" s="864"/>
      <c r="J37" s="864"/>
      <c r="K37" s="863"/>
      <c r="L37" s="862">
        <f ca="1">L41+L53+L66+L88+L119+L132+L149+L165+L181+L261+L277+L298+L315+L328+L345+L389+L402</f>
        <v>3382730</v>
      </c>
      <c r="M37" s="862">
        <f ca="1">M41+M53+M66+M88+M119+M132+M149+M165+M181+M261+M277+M298+M315+M328+M345+M389+M402</f>
        <v>3848863.81</v>
      </c>
      <c r="N37" s="862">
        <f ca="1">N41+N53+N66+N88+N119+N132+N149+N165+N181+N261+N277+N298+N315+N328+N345+N389+N402</f>
        <v>3848863.81</v>
      </c>
      <c r="O37" s="862">
        <f t="shared" ca="1" si="10"/>
        <v>113.77981127669072</v>
      </c>
      <c r="P37" s="862">
        <f t="shared" ca="1" si="11"/>
        <v>100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9" t="s">
        <v>27</v>
      </c>
      <c r="C40" s="888"/>
      <c r="D40" s="888"/>
      <c r="E40" s="888"/>
      <c r="F40" s="888"/>
      <c r="G40" s="894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1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590800</v>
      </c>
      <c r="M41" s="84">
        <f ca="1">M42+M43</f>
        <v>719666</v>
      </c>
      <c r="N41" s="84">
        <f ca="1">N42+N43</f>
        <v>719666</v>
      </c>
      <c r="O41" s="84">
        <f t="shared" ref="O41:O49" ca="1" si="15">IF(L41&gt;0,N41*100/L41,0)</f>
        <v>121.8121191604604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590800</v>
      </c>
      <c r="M43" s="91">
        <f t="shared" ca="1" si="17"/>
        <v>719666</v>
      </c>
      <c r="N43" s="91">
        <f t="shared" ca="1" si="17"/>
        <v>719666</v>
      </c>
      <c r="O43" s="91">
        <f t="shared" ca="1" si="15"/>
        <v>121.8121191604604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22" t="s">
        <v>12</v>
      </c>
      <c r="I44" s="269"/>
      <c r="J44" s="269"/>
      <c r="K44" s="497"/>
      <c r="L44" s="497">
        <f ca="1">L45+L46</f>
        <v>590800</v>
      </c>
      <c r="M44" s="497">
        <f ca="1">M45+M46</f>
        <v>719666</v>
      </c>
      <c r="N44" s="497">
        <f ca="1">N45+N46</f>
        <v>719666</v>
      </c>
      <c r="O44" s="497">
        <f t="shared" ca="1" si="15"/>
        <v>121.8121191604604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6"/>
      <c r="J45" s="616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6"/>
      <c r="J46" s="616"/>
      <c r="K46" s="92"/>
      <c r="L46" s="92">
        <f ca="1">IFERROR(__xludf.DUMMYFUNCTION("IMPORTRANGE(""https://docs.google.com/spreadsheets/d/1MeEWN-I1oV_STSDYn1IFDPWt_1FKiwhDph83XaGc0o0/edit?usp=sharing"",""งบพรบ!M86"")"),590800)</f>
        <v>590800</v>
      </c>
      <c r="M46" s="92">
        <f ca="1">IFERROR(__xludf.DUMMYFUNCTION("IMPORTRANGE(""https://docs.google.com/spreadsheets/d/1MeEWN-I1oV_STSDYn1IFDPWt_1FKiwhDph83XaGc0o0/edit?usp=sharing"",""งบพรบ!R86"")"),719666)</f>
        <v>719666</v>
      </c>
      <c r="N46" s="92">
        <f ca="1">IFERROR(__xludf.DUMMYFUNCTION("IMPORTRANGE(""https://docs.google.com/spreadsheets/d/1MeEWN-I1oV_STSDYn1IFDPWt_1FKiwhDph83XaGc0o0/edit?usp=sharing"",""งบพรบ!T86"")"),719666)</f>
        <v>719666</v>
      </c>
      <c r="O46" s="92">
        <f t="shared" ca="1" si="15"/>
        <v>121.8121191604604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22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6"/>
      <c r="J48" s="616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IFERROR(__xludf.DUMMYFUNCTION("IMPORTRANGE(""https://docs.google.com/spreadsheets/d/1MeEWN-I1oV_STSDYn1IFDPWt_1FKiwhDph83XaGc0o0/edit?usp=sharing"",""งบพรบ!P86"")"),0)</f>
        <v>0</v>
      </c>
      <c r="M49" s="51">
        <f ca="1">IFERROR(__xludf.DUMMYFUNCTION("IMPORTRANGE(""https://docs.google.com/spreadsheets/d/1MeEWN-I1oV_STSDYn1IFDPWt_1FKiwhDph83XaGc0o0/edit?usp=sharing"",""งบพรบ!S86"")"),0)</f>
        <v>0</v>
      </c>
      <c r="N49" s="51">
        <f ca="1">IFERROR(__xludf.DUMMYFUNCTION("IMPORTRANGE(""https://docs.google.com/spreadsheets/d/1MeEWN-I1oV_STSDYn1IFDPWt_1FKiwhDph83XaGc0o0/edit?usp=sharing"",""งบพรบ!U86"")"),0)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3" t="s">
        <v>29</v>
      </c>
      <c r="C51" s="888"/>
      <c r="D51" s="888"/>
      <c r="E51" s="888"/>
      <c r="F51" s="888"/>
      <c r="G51" s="894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706700</v>
      </c>
      <c r="M53" s="115">
        <f ca="1">M54+M55</f>
        <v>770956.87</v>
      </c>
      <c r="N53" s="115">
        <f ca="1">N54+N55</f>
        <v>770956.87</v>
      </c>
      <c r="O53" s="115">
        <f t="shared" ref="O53:O61" ca="1" si="18">IF(L53&gt;0,N53*100/L53,0)</f>
        <v>109.09252440922597</v>
      </c>
      <c r="P53" s="115">
        <f t="shared" ref="P53:P61" ca="1" si="19">IF(M53&gt;0,N53*100/M53,0)</f>
        <v>100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706700</v>
      </c>
      <c r="M55" s="122">
        <f t="shared" ca="1" si="20"/>
        <v>770956.87</v>
      </c>
      <c r="N55" s="122">
        <f t="shared" ca="1" si="20"/>
        <v>770956.87</v>
      </c>
      <c r="O55" s="122">
        <f t="shared" ca="1" si="18"/>
        <v>109.09252440922597</v>
      </c>
      <c r="P55" s="122">
        <f t="shared" ca="1" si="19"/>
        <v>100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22" t="s">
        <v>12</v>
      </c>
      <c r="I56" s="269"/>
      <c r="J56" s="269"/>
      <c r="K56" s="497"/>
      <c r="L56" s="497">
        <f ca="1">L57+L58</f>
        <v>676800</v>
      </c>
      <c r="M56" s="497">
        <f ca="1">M57+M58</f>
        <v>741056.87</v>
      </c>
      <c r="N56" s="497">
        <f ca="1">N57+N58</f>
        <v>741056.87</v>
      </c>
      <c r="O56" s="497">
        <f t="shared" ca="1" si="18"/>
        <v>109.49421838061465</v>
      </c>
      <c r="P56" s="497">
        <f t="shared" ca="1" si="19"/>
        <v>100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6"/>
      <c r="J57" s="616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6"/>
      <c r="J58" s="616"/>
      <c r="K58" s="92"/>
      <c r="L58" s="92">
        <f ca="1">IFERROR(__xludf.DUMMYFUNCTION("IMPORTRANGE(""https://docs.google.com/spreadsheets/d/1MeEWN-I1oV_STSDYn1IFDPWt_1FKiwhDph83XaGc0o0/edit?usp=sharing"",""งบพรบ!W86"")"),676800)</f>
        <v>676800</v>
      </c>
      <c r="M58" s="92">
        <f ca="1">IFERROR(__xludf.DUMMYFUNCTION("IMPORTRANGE(""https://docs.google.com/spreadsheets/d/1MeEWN-I1oV_STSDYn1IFDPWt_1FKiwhDph83XaGc0o0/edit?usp=sharing"",""งบพรบ!AB86"")"),741056.87)</f>
        <v>741056.87</v>
      </c>
      <c r="N58" s="92">
        <f ca="1">IFERROR(__xludf.DUMMYFUNCTION("IMPORTRANGE(""https://docs.google.com/spreadsheets/d/1MeEWN-I1oV_STSDYn1IFDPWt_1FKiwhDph83XaGc0o0/edit?usp=sharing"",""งบพรบ!AD86"")"),741056.87)</f>
        <v>741056.87</v>
      </c>
      <c r="O58" s="92">
        <f t="shared" ca="1" si="18"/>
        <v>109.49421838061465</v>
      </c>
      <c r="P58" s="92">
        <f t="shared" ca="1" si="19"/>
        <v>100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22" t="s">
        <v>12</v>
      </c>
      <c r="I59" s="269"/>
      <c r="J59" s="269"/>
      <c r="K59" s="497"/>
      <c r="L59" s="497">
        <f ca="1">L60+L61</f>
        <v>29900</v>
      </c>
      <c r="M59" s="497">
        <f ca="1">M60+M61</f>
        <v>29900</v>
      </c>
      <c r="N59" s="497">
        <f ca="1">N60+N61</f>
        <v>29900</v>
      </c>
      <c r="O59" s="497">
        <f t="shared" ca="1" si="18"/>
        <v>100</v>
      </c>
      <c r="P59" s="497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6"/>
      <c r="J60" s="616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IFERROR(__xludf.DUMMYFUNCTION("IMPORTRANGE(""https://docs.google.com/spreadsheets/d/1MeEWN-I1oV_STSDYn1IFDPWt_1FKiwhDph83XaGc0o0/edit?usp=sharing"",""งบพรบ!Z86"")"),29900)</f>
        <v>29900</v>
      </c>
      <c r="M61" s="51">
        <f ca="1">IFERROR(__xludf.DUMMYFUNCTION("IMPORTRANGE(""https://docs.google.com/spreadsheets/d/1MeEWN-I1oV_STSDYn1IFDPWt_1FKiwhDph83XaGc0o0/edit?usp=sharing"",""งบพรบ!AC86"")"),29900)</f>
        <v>29900</v>
      </c>
      <c r="N61" s="51">
        <f ca="1">IFERROR(__xludf.DUMMYFUNCTION("IMPORTRANGE(""https://docs.google.com/spreadsheets/d/1MeEWN-I1oV_STSDYn1IFDPWt_1FKiwhDph83XaGc0o0/edit?usp=sharing"",""งบพรบ!AE86"")"),29900)</f>
        <v>29900</v>
      </c>
      <c r="O61" s="51">
        <f t="shared" ca="1" si="18"/>
        <v>100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46" t="s">
        <v>17</v>
      </c>
      <c r="E66" s="147"/>
      <c r="F66" s="147"/>
      <c r="G66" s="150"/>
      <c r="H66" s="151" t="s">
        <v>12</v>
      </c>
      <c r="I66" s="420"/>
      <c r="J66" s="420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6"/>
      <c r="J67" s="616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6"/>
      <c r="J68" s="616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IFERROR(__xludf.DUMMYFUNCTION("IMPORTRANGE(""https://docs.google.com/spreadsheets/d/1MeEWN-I1oV_STSDYn1IFDPWt_1FKiwhDph83XaGc0o0/edit?usp=sharing"",""งบพรบ!AG86"")"),0)</f>
        <v>0</v>
      </c>
      <c r="M71" s="92">
        <f ca="1">IFERROR(__xludf.DUMMYFUNCTION("IMPORTRANGE(""https://docs.google.com/spreadsheets/d/1MeEWN-I1oV_STSDYn1IFDPWt_1FKiwhDph83XaGc0o0/edit?usp=sharing"",""งบพรบ!AL86"")"),0)</f>
        <v>0</v>
      </c>
      <c r="N71" s="92">
        <f ca="1">IFERROR(__xludf.DUMMYFUNCTION("IMPORTRANGE(""https://docs.google.com/spreadsheets/d/1MeEWN-I1oV_STSDYn1IFDPWt_1FKiwhDph83XaGc0o0/edit?usp=sharing"",""งบพรบ!AN86"")"),0)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IFERROR(__xludf.DUMMYFUNCTION("IMPORTRANGE(""https://docs.google.com/spreadsheets/d/1MeEWN-I1oV_STSDYn1IFDPWt_1FKiwhDph83XaGc0o0/edit?usp=sharing"",""งบพรบ!AJ86"")"),0)</f>
        <v>0</v>
      </c>
      <c r="M74" s="92">
        <f ca="1">IFERROR(__xludf.DUMMYFUNCTION("IMPORTRANGE(""https://docs.google.com/spreadsheets/d/1MeEWN-I1oV_STSDYn1IFDPWt_1FKiwhDph83XaGc0o0/edit?usp=sharing"",""งบพรบ!AM86"")"),0)</f>
        <v>0</v>
      </c>
      <c r="N74" s="92">
        <f ca="1">IFERROR(__xludf.DUMMYFUNCTION("IMPORTRANGE(""https://docs.google.com/spreadsheets/d/1MeEWN-I1oV_STSDYn1IFDPWt_1FKiwhDph83XaGc0o0/edit?usp=sharing"",""งบพรบ!AO86"")"),0)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47" t="s">
        <v>38</v>
      </c>
      <c r="E75" s="172"/>
      <c r="F75" s="172"/>
      <c r="G75" s="173"/>
      <c r="H75" s="761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7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7" t="s">
        <v>40</v>
      </c>
      <c r="F78" s="447"/>
      <c r="G78" s="178"/>
      <c r="H78" s="763" t="s">
        <v>34</v>
      </c>
      <c r="I78" s="183">
        <f ca="1">IFERROR(__xludf.DUMMYFUNCTION("IMPORTRANGE(""https://docs.google.com/spreadsheets/d/1QqKyyYR6Q21VydFLVH3TRQUabQu_ym0Zz7PgGX0-kHA/edit?usp=sharing"",""แผน!H86"")"),0)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63" t="s">
        <v>35</v>
      </c>
      <c r="I79" s="183">
        <f ca="1">IFERROR(__xludf.DUMMYFUNCTION("IMPORTRANGE(""https://docs.google.com/spreadsheets/d/1QqKyyYR6Q21VydFLVH3TRQUabQu_ym0Zz7PgGX0-kHA/edit?usp=sharing"",""แผน!I86"")"),0)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7" t="s">
        <v>41</v>
      </c>
      <c r="F80" s="447"/>
      <c r="G80" s="178"/>
      <c r="H80" s="763" t="s">
        <v>34</v>
      </c>
      <c r="I80" s="183">
        <f ca="1">IFERROR(__xludf.DUMMYFUNCTION("IMPORTRANGE(""https://docs.google.com/spreadsheets/d/1QqKyyYR6Q21VydFLVH3TRQUabQu_ym0Zz7PgGX0-kHA/edit?usp=sharing"",""แผน!F86"")"),0)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63" t="s">
        <v>35</v>
      </c>
      <c r="I81" s="183">
        <f ca="1">IFERROR(__xludf.DUMMYFUNCTION("IMPORTRANGE(""https://docs.google.com/spreadsheets/d/1QqKyyYR6Q21VydFLVH3TRQUabQu_ym0Zz7PgGX0-kHA/edit?usp=sharing"",""แผน!G86"")"),0)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7" t="s">
        <v>42</v>
      </c>
      <c r="F82" s="447"/>
      <c r="G82" s="178"/>
      <c r="H82" s="763" t="s">
        <v>34</v>
      </c>
      <c r="I82" s="183">
        <f ca="1">IFERROR(__xludf.DUMMYFUNCTION("IMPORTRANGE(""https://docs.google.com/spreadsheets/d/1QqKyyYR6Q21VydFLVH3TRQUabQu_ym0Zz7PgGX0-kHA/edit?usp=sharing"",""แผน!D86"")"),0)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63" t="s">
        <v>35</v>
      </c>
      <c r="I83" s="183">
        <f ca="1">IFERROR(__xludf.DUMMYFUNCTION("IMPORTRANGE(""https://docs.google.com/spreadsheets/d/1QqKyyYR6Q21VydFLVH3TRQUabQu_ym0Zz7PgGX0-kHA/edit?usp=sharing"",""แผน!E86"")"),0)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7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IFERROR(__xludf.DUMMYFUNCTION("IMPORTRANGE(""https://docs.google.com/spreadsheets/d/1QqKyyYR6Q21VydFLVH3TRQUabQu_ym0Zz7PgGX0-kHA/edit?usp=sharing"",""แผน!J86"")"),0)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0</v>
      </c>
      <c r="J86" s="143">
        <f>J98</f>
        <v>0</v>
      </c>
      <c r="K86" s="144">
        <f ca="1">IF(I86&gt;0,J86*100/I86,0)</f>
        <v>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0</v>
      </c>
      <c r="J87" s="143">
        <f>J99</f>
        <v>0</v>
      </c>
      <c r="K87" s="144">
        <f ca="1">IF(I87&gt;0,J87*100/I87,0)</f>
        <v>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46" t="s">
        <v>17</v>
      </c>
      <c r="E88" s="147"/>
      <c r="F88" s="147"/>
      <c r="G88" s="150"/>
      <c r="H88" s="151" t="s">
        <v>12</v>
      </c>
      <c r="I88" s="420"/>
      <c r="J88" s="420"/>
      <c r="K88" s="153"/>
      <c r="L88" s="154">
        <f ca="1">L89+L90</f>
        <v>31200</v>
      </c>
      <c r="M88" s="154">
        <f ca="1">M89+M90</f>
        <v>31200</v>
      </c>
      <c r="N88" s="154">
        <f ca="1">N89+N90</f>
        <v>31200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6"/>
      <c r="J89" s="616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6"/>
      <c r="J90" s="616"/>
      <c r="K90" s="92"/>
      <c r="L90" s="92">
        <f t="shared" ca="1" si="27"/>
        <v>31200</v>
      </c>
      <c r="M90" s="92">
        <f t="shared" ca="1" si="27"/>
        <v>31200</v>
      </c>
      <c r="N90" s="92">
        <f t="shared" ca="1" si="27"/>
        <v>31200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31200</v>
      </c>
      <c r="M91" s="497">
        <f ca="1">M92+M93</f>
        <v>31200</v>
      </c>
      <c r="N91" s="497">
        <f ca="1">N92+N93</f>
        <v>31200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IFERROR(__xludf.DUMMYFUNCTION("IMPORTRANGE(""https://docs.google.com/spreadsheets/d/1MeEWN-I1oV_STSDYn1IFDPWt_1FKiwhDph83XaGc0o0/edit?usp=sharing"",""งบพรบ!AQ86"")"),31200)</f>
        <v>31200</v>
      </c>
      <c r="M93" s="92">
        <f ca="1">IFERROR(__xludf.DUMMYFUNCTION("IMPORTRANGE(""https://docs.google.com/spreadsheets/d/1MeEWN-I1oV_STSDYn1IFDPWt_1FKiwhDph83XaGc0o0/edit?usp=sharing"",""งบพรบ!AV86"")"),31200)</f>
        <v>31200</v>
      </c>
      <c r="N93" s="92">
        <f ca="1">IFERROR(__xludf.DUMMYFUNCTION("IMPORTRANGE(""https://docs.google.com/spreadsheets/d/1MeEWN-I1oV_STSDYn1IFDPWt_1FKiwhDph83XaGc0o0/edit?usp=sharing"",""งบพรบ!AX86"")"),31200)</f>
        <v>31200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IFERROR(__xludf.DUMMYFUNCTION("IMPORTRANGE(""https://docs.google.com/spreadsheets/d/1MeEWN-I1oV_STSDYn1IFDPWt_1FKiwhDph83XaGc0o0/edit?usp=sharing"",""งบพรบ!AT86"")"),0)</f>
        <v>0</v>
      </c>
      <c r="M96" s="92">
        <f ca="1">IFERROR(__xludf.DUMMYFUNCTION("IMPORTRANGE(""https://docs.google.com/spreadsheets/d/1MeEWN-I1oV_STSDYn1IFDPWt_1FKiwhDph83XaGc0o0/edit?usp=sharing"",""งบพรบ!AW86"")"),0)</f>
        <v>0</v>
      </c>
      <c r="N96" s="92">
        <f ca="1">IFERROR(__xludf.DUMMYFUNCTION("IMPORTRANGE(""https://docs.google.com/spreadsheets/d/1MeEWN-I1oV_STSDYn1IFDPWt_1FKiwhDph83XaGc0o0/edit?usp=sharing"",""งบพรบ!AY86"")"),0)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47" t="s">
        <v>38</v>
      </c>
      <c r="E97" s="172"/>
      <c r="F97" s="172"/>
      <c r="G97" s="173"/>
      <c r="H97" s="761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7" t="s">
        <v>47</v>
      </c>
      <c r="E98" s="447"/>
      <c r="F98" s="177"/>
      <c r="G98" s="178"/>
      <c r="H98" s="622" t="s">
        <v>46</v>
      </c>
      <c r="I98" s="269">
        <f ca="1">IFERROR(__xludf.DUMMYFUNCTION("IMPORTRANGE(""https://docs.google.com/spreadsheets/d/1QqKyyYR6Q21VydFLVH3TRQUabQu_ym0Zz7PgGX0-kHA/edit?usp=sharing"",""แผน!K86"")"),0)</f>
        <v>0</v>
      </c>
      <c r="J98" s="269">
        <f>J102</f>
        <v>0</v>
      </c>
      <c r="K98" s="497">
        <f ca="1">IF(I98&gt;0,J98*100/I98,0)</f>
        <v>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7" t="s">
        <v>48</v>
      </c>
      <c r="E99" s="447"/>
      <c r="F99" s="177"/>
      <c r="G99" s="178"/>
      <c r="H99" s="622" t="s">
        <v>35</v>
      </c>
      <c r="I99" s="269">
        <f ca="1">IFERROR(__xludf.DUMMYFUNCTION("IMPORTRANGE(""https://docs.google.com/spreadsheets/d/1QqKyyYR6Q21VydFLVH3TRQUabQu_ym0Zz7PgGX0-kHA/edit?usp=sharing"",""แผน!L86"")"),0)</f>
        <v>0</v>
      </c>
      <c r="J99" s="269">
        <f>J104</f>
        <v>0</v>
      </c>
      <c r="K99" s="497">
        <f ca="1">IF(I99&gt;0,J99*100/I99,0)</f>
        <v>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22" t="s">
        <v>49</v>
      </c>
      <c r="I100" s="269">
        <f ca="1">IFERROR(__xludf.DUMMYFUNCTION("IMPORTRANGE(""https://docs.google.com/spreadsheets/d/1QqKyyYR6Q21VydFLVH3TRQUabQu_ym0Zz7PgGX0-kHA/edit?usp=sharing"",""แผน!M86"")"),1)</f>
        <v>1</v>
      </c>
      <c r="J100" s="269">
        <f>J107+J110</f>
        <v>1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22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5" t="s">
        <v>47</v>
      </c>
      <c r="F102" s="177"/>
      <c r="G102" s="178"/>
      <c r="H102" s="622" t="s">
        <v>46</v>
      </c>
      <c r="I102" s="269">
        <f ca="1">IFERROR(__xludf.DUMMYFUNCTION("IMPORTRANGE(""https://docs.google.com/spreadsheets/d/1QqKyyYR6Q21VydFLVH3TRQUabQu_ym0Zz7PgGX0-kHA/edit?usp=sharing"",""แผน!N86"")"),0)</f>
        <v>0</v>
      </c>
      <c r="J102" s="214">
        <v>0</v>
      </c>
      <c r="K102" s="497">
        <f ca="1">IF(I102&gt;0,J102*100/I102,0)</f>
        <v>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7" t="s">
        <v>51</v>
      </c>
      <c r="F103" s="177"/>
      <c r="G103" s="178"/>
      <c r="H103" s="622" t="s">
        <v>35</v>
      </c>
      <c r="I103" s="269">
        <f ca="1">IFERROR(__xludf.DUMMYFUNCTION("IMPORTRANGE(""https://docs.google.com/spreadsheets/d/1QqKyyYR6Q21VydFLVH3TRQUabQu_ym0Zz7PgGX0-kHA/edit?usp=sharing"",""แผน!O86"")"),0)</f>
        <v>0</v>
      </c>
      <c r="J103" s="214">
        <v>0</v>
      </c>
      <c r="K103" s="497">
        <f ca="1">IF(I103&gt;0,J103*100/I103,0)</f>
        <v>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22" t="s">
        <v>35</v>
      </c>
      <c r="I104" s="269">
        <f ca="1">IFERROR(__xludf.DUMMYFUNCTION("IMPORTRANGE(""https://docs.google.com/spreadsheets/d/1QqKyyYR6Q21VydFLVH3TRQUabQu_ym0Zz7PgGX0-kHA/edit?usp=sharing"",""แผน!O86"")"),0)</f>
        <v>0</v>
      </c>
      <c r="J104" s="214">
        <v>0</v>
      </c>
      <c r="K104" s="497">
        <f ca="1">IF(I104&gt;0,J104*100/I104,0)</f>
        <v>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7" t="s">
        <v>54</v>
      </c>
      <c r="F106" s="177"/>
      <c r="G106" s="178"/>
      <c r="H106" s="622" t="s">
        <v>49</v>
      </c>
      <c r="I106" s="269">
        <f ca="1">IFERROR(__xludf.DUMMYFUNCTION("IMPORTRANGE(""https://docs.google.com/spreadsheets/d/1QqKyyYR6Q21VydFLVH3TRQUabQu_ym0Zz7PgGX0-kHA/edit?usp=sharing"",""แผน!P86"")"),0)</f>
        <v>0</v>
      </c>
      <c r="J106" s="214">
        <v>0</v>
      </c>
      <c r="K106" s="497">
        <f ca="1">IF(I106&gt;0,J106*100/I106,0)</f>
        <v>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22" t="s">
        <v>49</v>
      </c>
      <c r="I107" s="269">
        <f ca="1">IFERROR(__xludf.DUMMYFUNCTION("IMPORTRANGE(""https://docs.google.com/spreadsheets/d/1QqKyyYR6Q21VydFLVH3TRQUabQu_ym0Zz7PgGX0-kHA/edit?usp=sharing"",""แผน!P86"")"),0)</f>
        <v>0</v>
      </c>
      <c r="J107" s="214">
        <v>0</v>
      </c>
      <c r="K107" s="497">
        <f ca="1">IF(I107&gt;0,J107*100/I107,0)</f>
        <v>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7" t="s">
        <v>57</v>
      </c>
      <c r="F109" s="177"/>
      <c r="G109" s="178"/>
      <c r="H109" s="622" t="s">
        <v>49</v>
      </c>
      <c r="I109" s="269">
        <f ca="1">IFERROR(__xludf.DUMMYFUNCTION("IMPORTRANGE(""https://docs.google.com/spreadsheets/d/1QqKyyYR6Q21VydFLVH3TRQUabQu_ym0Zz7PgGX0-kHA/edit?usp=sharing"",""แผน!Q86"")"),1)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22" t="s">
        <v>49</v>
      </c>
      <c r="I110" s="269">
        <f ca="1">IFERROR(__xludf.DUMMYFUNCTION("IMPORTRANGE(""https://docs.google.com/spreadsheets/d/1QqKyyYR6Q21VydFLVH3TRQUabQu_ym0Zz7PgGX0-kHA/edit?usp=sharing"",""แผน!Q86"")"),1)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6" t="s">
        <v>35</v>
      </c>
      <c r="I111" s="192">
        <f ca="1">IFERROR(__xludf.DUMMYFUNCTION("IMPORTRANGE(""https://docs.google.com/spreadsheets/d/1QqKyyYR6Q21VydFLVH3TRQUabQu_ym0Zz7PgGX0-kHA/edit?usp=sharing"",""แผน!R86"")"),0)</f>
        <v>0</v>
      </c>
      <c r="J111" s="680">
        <f>J114</f>
        <v>0</v>
      </c>
      <c r="K111" s="194">
        <f t="shared" ca="1" si="28"/>
        <v>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1</v>
      </c>
      <c r="J112" s="680">
        <f>J115+J116</f>
        <v>1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31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IFERROR(__xludf.DUMMYFUNCTION("IMPORTRANGE(""https://docs.google.com/spreadsheets/d/1QqKyyYR6Q21VydFLVH3TRQUabQu_ym0Zz7PgGX0-kHA/edit?usp=sharing"",""แผน!R86"")"),0)</f>
        <v>0</v>
      </c>
      <c r="J113" s="214">
        <v>0</v>
      </c>
      <c r="K113" s="497">
        <f t="shared" ca="1" si="28"/>
        <v>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7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IFERROR(__xludf.DUMMYFUNCTION("IMPORTRANGE(""https://docs.google.com/spreadsheets/d/1QqKyyYR6Q21VydFLVH3TRQUabQu_ym0Zz7PgGX0-kHA/edit?usp=sharing"",""แผน!R86"")"),0)</f>
        <v>0</v>
      </c>
      <c r="J114" s="214">
        <v>0</v>
      </c>
      <c r="K114" s="497">
        <f t="shared" ca="1" si="28"/>
        <v>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7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IFERROR(__xludf.DUMMYFUNCTION("IMPORTRANGE(""https://docs.google.com/spreadsheets/d/1QqKyyYR6Q21VydFLVH3TRQUabQu_ym0Zz7PgGX0-kHA/edit?usp=sharing"",""แผน!S86"")"),0)</f>
        <v>0</v>
      </c>
      <c r="J115" s="214">
        <v>0</v>
      </c>
      <c r="K115" s="497">
        <f t="shared" ca="1" si="28"/>
        <v>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7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IFERROR(__xludf.DUMMYFUNCTION("IMPORTRANGE(""https://docs.google.com/spreadsheets/d/1QqKyyYR6Q21VydFLVH3TRQUabQu_ym0Zz7PgGX0-kHA/edit?usp=sharing"",""แผน!T86"")"),1)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46" t="s">
        <v>17</v>
      </c>
      <c r="E119" s="147"/>
      <c r="F119" s="147"/>
      <c r="G119" s="150"/>
      <c r="H119" s="151" t="s">
        <v>12</v>
      </c>
      <c r="I119" s="420"/>
      <c r="J119" s="420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6"/>
      <c r="J120" s="616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6"/>
      <c r="J121" s="616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IFERROR(__xludf.DUMMYFUNCTION("IMPORTRANGE(""https://docs.google.com/spreadsheets/d/1MeEWN-I1oV_STSDYn1IFDPWt_1FKiwhDph83XaGc0o0/edit?usp=sharing"",""งบพรบ!BA86"")"),0)</f>
        <v>0</v>
      </c>
      <c r="M124" s="92">
        <f ca="1">IFERROR(__xludf.DUMMYFUNCTION("IMPORTRANGE(""https://docs.google.com/spreadsheets/d/1MeEWN-I1oV_STSDYn1IFDPWt_1FKiwhDph83XaGc0o0/edit?usp=sharing"",""งบพรบ!BF86"")"),0)</f>
        <v>0</v>
      </c>
      <c r="N124" s="92">
        <f ca="1">IFERROR(__xludf.DUMMYFUNCTION("IMPORTRANGE(""https://docs.google.com/spreadsheets/d/1MeEWN-I1oV_STSDYn1IFDPWt_1FKiwhDph83XaGc0o0/edit?usp=sharing"",""งบพรบ!BH86"")"),0)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IFERROR(__xludf.DUMMYFUNCTION("IMPORTRANGE(""https://docs.google.com/spreadsheets/d/1MeEWN-I1oV_STSDYn1IFDPWt_1FKiwhDph83XaGc0o0/edit?usp=sharing"",""งบพรบ!BD86"")"),0)</f>
        <v>0</v>
      </c>
      <c r="M127" s="92">
        <f ca="1">IFERROR(__xludf.DUMMYFUNCTION("IMPORTRANGE(""https://docs.google.com/spreadsheets/d/1MeEWN-I1oV_STSDYn1IFDPWt_1FKiwhDph83XaGc0o0/edit?usp=sharing"",""งบพรบ!BG86"")"),0)</f>
        <v>0</v>
      </c>
      <c r="N127" s="92">
        <f ca="1">IFERROR(__xludf.DUMMYFUNCTION("IMPORTRANGE(""https://docs.google.com/spreadsheets/d/1MeEWN-I1oV_STSDYn1IFDPWt_1FKiwhDph83XaGc0o0/edit?usp=sharing"",""งบพรบ!BI86"")"),0)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1</v>
      </c>
      <c r="J130" s="143">
        <f>J146</f>
        <v>1</v>
      </c>
      <c r="K130" s="144">
        <f ca="1">IF(I130&gt;0,J130*100/I130,0)</f>
        <v>100</v>
      </c>
      <c r="L130" s="145"/>
      <c r="M130" s="145"/>
      <c r="N130" s="145"/>
      <c r="O130" s="145"/>
      <c r="P130" s="145"/>
    </row>
    <row r="131" spans="1:26" ht="19.5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10</v>
      </c>
      <c r="J131" s="143">
        <f ca="1">J143</f>
        <v>10</v>
      </c>
      <c r="K131" s="144">
        <f ca="1">IF(I131&gt;0,J131*100/I131,0)</f>
        <v>100</v>
      </c>
      <c r="L131" s="145"/>
      <c r="M131" s="145"/>
      <c r="N131" s="145"/>
      <c r="O131" s="145"/>
      <c r="P131" s="145"/>
    </row>
    <row r="132" spans="1:26" ht="19.5">
      <c r="A132" s="146"/>
      <c r="B132" s="147"/>
      <c r="C132" s="148" t="s">
        <v>16</v>
      </c>
      <c r="D132" s="846" t="s">
        <v>17</v>
      </c>
      <c r="E132" s="147"/>
      <c r="F132" s="147"/>
      <c r="G132" s="150"/>
      <c r="H132" s="151" t="s">
        <v>12</v>
      </c>
      <c r="I132" s="420"/>
      <c r="J132" s="420"/>
      <c r="K132" s="153"/>
      <c r="L132" s="154">
        <f ca="1">L133+L134</f>
        <v>543555</v>
      </c>
      <c r="M132" s="154">
        <f ca="1">M133+M134</f>
        <v>558955</v>
      </c>
      <c r="N132" s="154">
        <f ca="1">N133+N134</f>
        <v>558955</v>
      </c>
      <c r="O132" s="154">
        <f t="shared" ref="O132:O140" ca="1" si="32">IF(L132&gt;0,N132*100/L132,0)</f>
        <v>102.83319995216675</v>
      </c>
      <c r="P132" s="154">
        <f t="shared" ref="P132:P140" ca="1" si="33">IF(M132&gt;0,N132*100/M132,0)</f>
        <v>100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6"/>
      <c r="J133" s="616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6"/>
      <c r="J134" s="616"/>
      <c r="K134" s="92"/>
      <c r="L134" s="92">
        <f t="shared" ca="1" si="34"/>
        <v>543555</v>
      </c>
      <c r="M134" s="92">
        <f t="shared" ca="1" si="34"/>
        <v>558955</v>
      </c>
      <c r="N134" s="92">
        <f t="shared" ca="1" si="34"/>
        <v>558955</v>
      </c>
      <c r="O134" s="92">
        <f t="shared" ca="1" si="32"/>
        <v>102.83319995216675</v>
      </c>
      <c r="P134" s="92">
        <f t="shared" ca="1" si="33"/>
        <v>100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440555</v>
      </c>
      <c r="M135" s="497">
        <f ca="1">M136+M137</f>
        <v>455955</v>
      </c>
      <c r="N135" s="497">
        <f ca="1">N136+N137</f>
        <v>455955</v>
      </c>
      <c r="O135" s="497">
        <f t="shared" ca="1" si="32"/>
        <v>103.49559078889129</v>
      </c>
      <c r="P135" s="497">
        <f t="shared" ca="1" si="33"/>
        <v>100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IFERROR(__xludf.DUMMYFUNCTION("IMPORTRANGE(""https://docs.google.com/spreadsheets/d/1MeEWN-I1oV_STSDYn1IFDPWt_1FKiwhDph83XaGc0o0/edit?usp=sharing"",""งบพรบ!BK86"")"),440555)</f>
        <v>440555</v>
      </c>
      <c r="M137" s="92">
        <f ca="1">IFERROR(__xludf.DUMMYFUNCTION("IMPORTRANGE(""https://docs.google.com/spreadsheets/d/1MeEWN-I1oV_STSDYn1IFDPWt_1FKiwhDph83XaGc0o0/edit?usp=sharing"",""งบพรบ!BP86"")"),455955)</f>
        <v>455955</v>
      </c>
      <c r="N137" s="92">
        <f ca="1">IFERROR(__xludf.DUMMYFUNCTION("IMPORTRANGE(""https://docs.google.com/spreadsheets/d/1MeEWN-I1oV_STSDYn1IFDPWt_1FKiwhDph83XaGc0o0/edit?usp=sharing"",""งบพรบ!BR86"")"),455955)</f>
        <v>455955</v>
      </c>
      <c r="O137" s="92">
        <f t="shared" ca="1" si="32"/>
        <v>103.49559078889129</v>
      </c>
      <c r="P137" s="92">
        <f t="shared" ca="1" si="33"/>
        <v>100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103000</v>
      </c>
      <c r="M138" s="497">
        <f ca="1">M139+M140</f>
        <v>103000</v>
      </c>
      <c r="N138" s="497">
        <f ca="1">N139+N140</f>
        <v>103000</v>
      </c>
      <c r="O138" s="497">
        <f t="shared" ca="1" si="32"/>
        <v>100</v>
      </c>
      <c r="P138" s="497">
        <f t="shared" ca="1" si="33"/>
        <v>100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IFERROR(__xludf.DUMMYFUNCTION("IMPORTRANGE(""https://docs.google.com/spreadsheets/d/1MeEWN-I1oV_STSDYn1IFDPWt_1FKiwhDph83XaGc0o0/edit?usp=sharing"",""งบพรบ!BN86"")"),103000)</f>
        <v>103000</v>
      </c>
      <c r="M140" s="92">
        <f ca="1">IFERROR(__xludf.DUMMYFUNCTION("IMPORTRANGE(""https://docs.google.com/spreadsheets/d/1MeEWN-I1oV_STSDYn1IFDPWt_1FKiwhDph83XaGc0o0/edit?usp=sharing"",""งบพรบ!BQ86"")"),103000)</f>
        <v>103000</v>
      </c>
      <c r="N140" s="92">
        <f ca="1">IFERROR(__xludf.DUMMYFUNCTION("IMPORTRANGE(""https://docs.google.com/spreadsheets/d/1MeEWN-I1oV_STSDYn1IFDPWt_1FKiwhDph83XaGc0o0/edit?usp=sharing"",""งบพรบ!BS86"")"),103000)</f>
        <v>103000</v>
      </c>
      <c r="O140" s="92">
        <f t="shared" ca="1" si="32"/>
        <v>100</v>
      </c>
      <c r="P140" s="92">
        <f t="shared" ca="1" si="33"/>
        <v>100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>
      <c r="A141" s="169"/>
      <c r="B141" s="170"/>
      <c r="C141" s="148" t="s">
        <v>16</v>
      </c>
      <c r="D141" s="84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10</v>
      </c>
      <c r="K142" s="497"/>
      <c r="L142" s="497"/>
      <c r="M142" s="497"/>
      <c r="N142" s="497"/>
      <c r="O142" s="497"/>
      <c r="P142" s="497"/>
    </row>
    <row r="143" spans="1:26" ht="19.5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10</v>
      </c>
      <c r="J143" s="269">
        <f ca="1">IF(AND(J144&gt;=I144,J145&gt;=I145),J145,0)</f>
        <v>10</v>
      </c>
      <c r="K143" s="497">
        <f ca="1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IFERROR(__xludf.DUMMYFUNCTION("IMPORTRANGE(""https://docs.google.com/spreadsheets/d/1QqKyyYR6Q21VydFLVH3TRQUabQu_ym0Zz7PgGX0-kHA/edit?usp=sharing"",""แผน!U86"")"),5)</f>
        <v>5</v>
      </c>
      <c r="J144" s="214">
        <v>5</v>
      </c>
      <c r="K144" s="497">
        <f ca="1">IF(I144&gt;0,J144*100/I144,0)</f>
        <v>100</v>
      </c>
      <c r="L144" s="497"/>
      <c r="M144" s="497"/>
      <c r="N144" s="497"/>
      <c r="O144" s="497"/>
      <c r="P144" s="497"/>
    </row>
    <row r="145" spans="1:26" ht="19.5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IFERROR(__xludf.DUMMYFUNCTION("IMPORTRANGE(""https://docs.google.com/spreadsheets/d/1QqKyyYR6Q21VydFLVH3TRQUabQu_ym0Zz7PgGX0-kHA/edit?usp=sharing"",""แผน!V86"")"),10)</f>
        <v>10</v>
      </c>
      <c r="J145" s="214">
        <v>10</v>
      </c>
      <c r="K145" s="497">
        <f ca="1">IF(I145&gt;0,J145*100/I145,0)</f>
        <v>100</v>
      </c>
      <c r="L145" s="497"/>
      <c r="M145" s="497"/>
      <c r="N145" s="497"/>
      <c r="O145" s="497"/>
      <c r="P145" s="497"/>
    </row>
    <row r="146" spans="1:26" ht="19.5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IFERROR(__xludf.DUMMYFUNCTION("IMPORTRANGE(""https://docs.google.com/spreadsheets/d/1QqKyyYR6Q21VydFLVH3TRQUabQu_ym0Zz7PgGX0-kHA/edit?usp=sharing"",""แผน!W86"")"),1)</f>
        <v>1</v>
      </c>
      <c r="J146" s="214">
        <v>1</v>
      </c>
      <c r="K146" s="497">
        <f ca="1">IF(I146&gt;0,J146*100/I146,0)</f>
        <v>100</v>
      </c>
      <c r="L146" s="497"/>
      <c r="M146" s="497"/>
      <c r="N146" s="497"/>
      <c r="O146" s="497"/>
      <c r="P146" s="497"/>
    </row>
    <row r="147" spans="1:26" ht="19.5" hidden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 hidden="1">
      <c r="A148" s="216"/>
      <c r="B148" s="208" t="s">
        <v>77</v>
      </c>
      <c r="C148" s="208"/>
      <c r="D148" s="208"/>
      <c r="E148" s="859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6"/>
      <c r="B149" s="147"/>
      <c r="C149" s="148" t="s">
        <v>16</v>
      </c>
      <c r="D149" s="846" t="s">
        <v>17</v>
      </c>
      <c r="E149" s="147"/>
      <c r="F149" s="147"/>
      <c r="G149" s="150"/>
      <c r="H149" s="151" t="s">
        <v>12</v>
      </c>
      <c r="I149" s="420"/>
      <c r="J149" s="420"/>
      <c r="K149" s="153"/>
      <c r="L149" s="154">
        <f ca="1">L150+L151</f>
        <v>0</v>
      </c>
      <c r="M149" s="154">
        <f ca="1">M150+M151</f>
        <v>0</v>
      </c>
      <c r="N149" s="154">
        <f ca="1">N150+N151</f>
        <v>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6"/>
      <c r="J150" s="616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6"/>
      <c r="J151" s="616"/>
      <c r="K151" s="92"/>
      <c r="L151" s="92">
        <f t="shared" ca="1" si="37"/>
        <v>0</v>
      </c>
      <c r="M151" s="92">
        <f t="shared" ca="1" si="37"/>
        <v>0</v>
      </c>
      <c r="N151" s="92">
        <f t="shared" ca="1" si="37"/>
        <v>0</v>
      </c>
      <c r="O151" s="92">
        <f t="shared" ca="1" si="35"/>
        <v>0</v>
      </c>
      <c r="P151" s="92">
        <f t="shared" ca="1" si="36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0</v>
      </c>
      <c r="N152" s="497">
        <f ca="1">N153+N154</f>
        <v>0</v>
      </c>
      <c r="O152" s="497">
        <f t="shared" ca="1" si="35"/>
        <v>0</v>
      </c>
      <c r="P152" s="497">
        <f t="shared" ca="1" si="36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IFERROR(__xludf.DUMMYFUNCTION("IMPORTRANGE(""https://docs.google.com/spreadsheets/d/1MeEWN-I1oV_STSDYn1IFDPWt_1FKiwhDph83XaGc0o0/edit?usp=sharing"",""งบพรบ!BU86"")"),0)</f>
        <v>0</v>
      </c>
      <c r="M154" s="92">
        <f ca="1">IFERROR(__xludf.DUMMYFUNCTION("IMPORTRANGE(""https://docs.google.com/spreadsheets/d/1MeEWN-I1oV_STSDYn1IFDPWt_1FKiwhDph83XaGc0o0/edit?usp=sharing"",""งบพรบ!BZ86"")"),0)</f>
        <v>0</v>
      </c>
      <c r="N154" s="92">
        <f ca="1">IFERROR(__xludf.DUMMYFUNCTION("IMPORTRANGE(""https://docs.google.com/spreadsheets/d/1MeEWN-I1oV_STSDYn1IFDPWt_1FKiwhDph83XaGc0o0/edit?usp=sharing"",""งบพรบ!CB86"")"),0)</f>
        <v>0</v>
      </c>
      <c r="O154" s="92">
        <f t="shared" ca="1" si="35"/>
        <v>0</v>
      </c>
      <c r="P154" s="92">
        <f t="shared" ca="1" si="36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IFERROR(__xludf.DUMMYFUNCTION("IMPORTRANGE(""https://docs.google.com/spreadsheets/d/1MeEWN-I1oV_STSDYn1IFDPWt_1FKiwhDph83XaGc0o0/edit?usp=sharing"",""งบพรบ!BX86"")"),0)</f>
        <v>0</v>
      </c>
      <c r="M157" s="92">
        <f ca="1">IFERROR(__xludf.DUMMYFUNCTION("IMPORTRANGE(""https://docs.google.com/spreadsheets/d/1MeEWN-I1oV_STSDYn1IFDPWt_1FKiwhDph83XaGc0o0/edit?usp=sharing"",""งบพรบ!CA86"")"),0)</f>
        <v>0</v>
      </c>
      <c r="N157" s="92">
        <f ca="1">IFERROR(__xludf.DUMMYFUNCTION("IMPORTRANGE(""https://docs.google.com/spreadsheets/d/1MeEWN-I1oV_STSDYn1IFDPWt_1FKiwhDph83XaGc0o0/edit?usp=sharing"",""งบพรบ!CC86"")"),0)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4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IFERROR(__xludf.DUMMYFUNCTION("IMPORTRANGE(""https://docs.google.com/spreadsheets/d/1QqKyyYR6Q21VydFLVH3TRQUabQu_ym0Zz7PgGX0-kHA/edit?usp=sharing"",""แผน!X86"")"),0)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6"/>
      <c r="J160" s="616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58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13</v>
      </c>
      <c r="J164" s="252">
        <f>J174+J177</f>
        <v>13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46" t="s">
        <v>17</v>
      </c>
      <c r="E165" s="147"/>
      <c r="F165" s="147"/>
      <c r="G165" s="150"/>
      <c r="H165" s="151" t="s">
        <v>12</v>
      </c>
      <c r="I165" s="420"/>
      <c r="J165" s="420"/>
      <c r="K165" s="153"/>
      <c r="L165" s="154">
        <f ca="1">L166+L167</f>
        <v>24065</v>
      </c>
      <c r="M165" s="154">
        <f ca="1">M166+M167</f>
        <v>81625</v>
      </c>
      <c r="N165" s="154">
        <f ca="1">N166+N167</f>
        <v>81625</v>
      </c>
      <c r="O165" s="154">
        <f t="shared" ref="O165:O173" ca="1" si="38">IF(L165&gt;0,N165*100/L165,0)</f>
        <v>339.18553916476208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6"/>
      <c r="J166" s="616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6"/>
      <c r="J167" s="616"/>
      <c r="K167" s="92"/>
      <c r="L167" s="92">
        <f t="shared" ca="1" si="40"/>
        <v>24065</v>
      </c>
      <c r="M167" s="92">
        <f t="shared" ca="1" si="40"/>
        <v>81625</v>
      </c>
      <c r="N167" s="92">
        <f t="shared" ca="1" si="40"/>
        <v>81625</v>
      </c>
      <c r="O167" s="92">
        <f t="shared" ca="1" si="38"/>
        <v>339.18553916476208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24065</v>
      </c>
      <c r="M168" s="497">
        <f ca="1">M169+M170</f>
        <v>81625</v>
      </c>
      <c r="N168" s="497">
        <f ca="1">N169+N170</f>
        <v>81625</v>
      </c>
      <c r="O168" s="497">
        <f t="shared" ca="1" si="38"/>
        <v>339.18553916476208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IFERROR(__xludf.DUMMYFUNCTION("IMPORTRANGE(""https://docs.google.com/spreadsheets/d/1MeEWN-I1oV_STSDYn1IFDPWt_1FKiwhDph83XaGc0o0/edit?usp=sharing"",""งบพรบ!CE86"")"),24065)</f>
        <v>24065</v>
      </c>
      <c r="M170" s="92">
        <f ca="1">IFERROR(__xludf.DUMMYFUNCTION("IMPORTRANGE(""https://docs.google.com/spreadsheets/d/1MeEWN-I1oV_STSDYn1IFDPWt_1FKiwhDph83XaGc0o0/edit?usp=sharing"",""งบพรบ!CJ86"")"),81625)</f>
        <v>81625</v>
      </c>
      <c r="N170" s="92">
        <f ca="1">IFERROR(__xludf.DUMMYFUNCTION("IMPORTRANGE(""https://docs.google.com/spreadsheets/d/1MeEWN-I1oV_STSDYn1IFDPWt_1FKiwhDph83XaGc0o0/edit?usp=sharing"",""งบพรบ!CL86"")"),81625)</f>
        <v>81625</v>
      </c>
      <c r="O170" s="92">
        <f t="shared" ca="1" si="38"/>
        <v>339.18553916476208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IFERROR(__xludf.DUMMYFUNCTION("IMPORTRANGE(""https://docs.google.com/spreadsheets/d/1MeEWN-I1oV_STSDYn1IFDPWt_1FKiwhDph83XaGc0o0/edit?usp=sharing"",""งบพรบ!CH86"")"),0)</f>
        <v>0</v>
      </c>
      <c r="M173" s="92">
        <f ca="1">IFERROR(__xludf.DUMMYFUNCTION("IMPORTRANGE(""https://docs.google.com/spreadsheets/d/1MeEWN-I1oV_STSDYn1IFDPWt_1FKiwhDph83XaGc0o0/edit?usp=sharing"",""งบพรบ!CK86"")"),0)</f>
        <v>0</v>
      </c>
      <c r="N173" s="92">
        <f ca="1">IFERROR(__xludf.DUMMYFUNCTION("IMPORTRANGE(""https://docs.google.com/spreadsheets/d/1MeEWN-I1oV_STSDYn1IFDPWt_1FKiwhDph83XaGc0o0/edit?usp=sharing"",""งบพรบ!CM86"")"),0)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13</v>
      </c>
      <c r="J174" s="260">
        <f>J176</f>
        <v>13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47" t="s">
        <v>38</v>
      </c>
      <c r="E175" s="172"/>
      <c r="F175" s="172"/>
      <c r="G175" s="173"/>
      <c r="H175" s="761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5" t="s">
        <v>85</v>
      </c>
      <c r="E176" s="177"/>
      <c r="F176" s="177"/>
      <c r="G176" s="178"/>
      <c r="H176" s="622" t="s">
        <v>35</v>
      </c>
      <c r="I176" s="269">
        <f ca="1">IFERROR(__xludf.DUMMYFUNCTION("IMPORTRANGE(""https://docs.google.com/spreadsheets/d/1QqKyyYR6Q21VydFLVH3TRQUabQu_ym0Zz7PgGX0-kHA/edit?usp=sharing"",""แผน!Y86"")"),13)</f>
        <v>13</v>
      </c>
      <c r="J176" s="214">
        <v>13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61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46" t="s">
        <v>17</v>
      </c>
      <c r="E181" s="147"/>
      <c r="F181" s="147"/>
      <c r="G181" s="150"/>
      <c r="H181" s="151" t="s">
        <v>12</v>
      </c>
      <c r="I181" s="420"/>
      <c r="J181" s="420"/>
      <c r="K181" s="153"/>
      <c r="L181" s="154">
        <f ca="1">L182+L183</f>
        <v>176400</v>
      </c>
      <c r="M181" s="154">
        <f ca="1">M182+M183</f>
        <v>195840</v>
      </c>
      <c r="N181" s="154">
        <f ca="1">N182+N183</f>
        <v>195840</v>
      </c>
      <c r="O181" s="154">
        <f t="shared" ref="O181:O189" ca="1" si="41">IF(L181&gt;0,N181*100/L181,0)</f>
        <v>111.0204081632653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6"/>
      <c r="J182" s="616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6"/>
      <c r="J183" s="616"/>
      <c r="K183" s="92"/>
      <c r="L183" s="92">
        <f t="shared" ca="1" si="43"/>
        <v>176400</v>
      </c>
      <c r="M183" s="92">
        <f t="shared" ca="1" si="43"/>
        <v>195840</v>
      </c>
      <c r="N183" s="92">
        <f t="shared" ca="1" si="43"/>
        <v>195840</v>
      </c>
      <c r="O183" s="92">
        <f t="shared" ca="1" si="41"/>
        <v>111.0204081632653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176400</v>
      </c>
      <c r="M184" s="497">
        <f ca="1">M185+M186</f>
        <v>195840</v>
      </c>
      <c r="N184" s="497">
        <f ca="1">N185+N186</f>
        <v>195840</v>
      </c>
      <c r="O184" s="497">
        <f t="shared" ca="1" si="41"/>
        <v>111.0204081632653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IFERROR(__xludf.DUMMYFUNCTION("IMPORTRANGE(""https://docs.google.com/spreadsheets/d/1MeEWN-I1oV_STSDYn1IFDPWt_1FKiwhDph83XaGc0o0/edit?usp=sharing"",""งบพรบ!CO86"")"),176400)</f>
        <v>176400</v>
      </c>
      <c r="M186" s="92">
        <f ca="1">IFERROR(__xludf.DUMMYFUNCTION("IMPORTRANGE(""https://docs.google.com/spreadsheets/d/1MeEWN-I1oV_STSDYn1IFDPWt_1FKiwhDph83XaGc0o0/edit?usp=sharing"",""งบพรบ!CT86"")"),195840)</f>
        <v>195840</v>
      </c>
      <c r="N186" s="92">
        <f ca="1">IFERROR(__xludf.DUMMYFUNCTION("IMPORTRANGE(""https://docs.google.com/spreadsheets/d/1MeEWN-I1oV_STSDYn1IFDPWt_1FKiwhDph83XaGc0o0/edit?usp=sharing"",""งบพรบ!CV86"")"),195840)</f>
        <v>195840</v>
      </c>
      <c r="O186" s="92">
        <f t="shared" ca="1" si="41"/>
        <v>111.0204081632653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IFERROR(__xludf.DUMMYFUNCTION("IMPORTRANGE(""https://docs.google.com/spreadsheets/d/1MeEWN-I1oV_STSDYn1IFDPWt_1FKiwhDph83XaGc0o0/edit?usp=sharing"",""งบพรบ!CR86"")"),0)</f>
        <v>0</v>
      </c>
      <c r="M189" s="92">
        <f ca="1">IFERROR(__xludf.DUMMYFUNCTION("IMPORTRANGE(""https://docs.google.com/spreadsheets/d/1MeEWN-I1oV_STSDYn1IFDPWt_1FKiwhDph83XaGc0o0/edit?usp=sharing"",""งบพรบ!CU86"")"),0)</f>
        <v>0</v>
      </c>
      <c r="N189" s="92">
        <f ca="1">IFERROR(__xludf.DUMMYFUNCTION("IMPORTRANGE(""https://docs.google.com/spreadsheets/d/1MeEWN-I1oV_STSDYn1IFDPWt_1FKiwhDph83XaGc0o0/edit?usp=sharing"",""งบพรบ!CW86"")"),0)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54" t="s">
        <v>17</v>
      </c>
      <c r="E191" s="147"/>
      <c r="F191" s="147"/>
      <c r="G191" s="150"/>
      <c r="H191" s="274" t="s">
        <v>12</v>
      </c>
      <c r="I191" s="420"/>
      <c r="J191" s="420"/>
      <c r="K191" s="153"/>
      <c r="L191" s="154">
        <f ca="1">IFERROR(__xludf.DUMMYFUNCTION("IMPORTRANGE(""https://docs.google.com/spreadsheets/d/1QqKyyYR6Q21VydFLVH3TRQUabQu_ym0Zz7PgGX0-kHA/edit?usp=sharing"",""แผน!Z86"")"),6000)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47" t="s">
        <v>38</v>
      </c>
      <c r="E192" s="172"/>
      <c r="F192" s="172"/>
      <c r="G192" s="173"/>
      <c r="H192" s="761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7" t="s">
        <v>91</v>
      </c>
      <c r="E193" s="177"/>
      <c r="F193" s="177"/>
      <c r="G193" s="178"/>
      <c r="H193" s="763" t="s">
        <v>90</v>
      </c>
      <c r="I193" s="269">
        <f ca="1">IFERROR(__xludf.DUMMYFUNCTION("IMPORTRANGE(""https://docs.google.com/spreadsheets/d/1QqKyyYR6Q21VydFLVH3TRQUabQu_ym0Zz7PgGX0-kHA/edit?usp=sharing"",""แผน!AC86"")"),4)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7" t="s">
        <v>92</v>
      </c>
      <c r="E194" s="177"/>
      <c r="F194" s="177"/>
      <c r="G194" s="178"/>
      <c r="H194" s="276" t="s">
        <v>35</v>
      </c>
      <c r="I194" s="269"/>
      <c r="J194" s="269">
        <f>J195+J196</f>
        <v>375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7" t="s">
        <v>93</v>
      </c>
      <c r="F195" s="177"/>
      <c r="G195" s="178"/>
      <c r="H195" s="276" t="s">
        <v>35</v>
      </c>
      <c r="I195" s="269"/>
      <c r="J195" s="214">
        <v>375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7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5</v>
      </c>
      <c r="J197" s="271">
        <f>J204</f>
        <v>5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54" t="s">
        <v>17</v>
      </c>
      <c r="E198" s="147"/>
      <c r="F198" s="147"/>
      <c r="G198" s="150"/>
      <c r="H198" s="274" t="s">
        <v>12</v>
      </c>
      <c r="I198" s="419"/>
      <c r="J198" s="419"/>
      <c r="K198" s="279"/>
      <c r="L198" s="154">
        <f ca="1">L199+L200+L201+L202</f>
        <v>65000</v>
      </c>
      <c r="M198" s="154"/>
      <c r="N198" s="154">
        <f>N199+N200+N201+N202</f>
        <v>65000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IFERROR(__xludf.DUMMYFUNCTION("IMPORTRANGE(""https://docs.google.com/spreadsheets/d/1QqKyyYR6Q21VydFLVH3TRQUabQu_ym0Zz7PgGX0-kHA/edit?usp=sharing"",""แผน!AE86"")"),5000)</f>
        <v>5000</v>
      </c>
      <c r="M199" s="497"/>
      <c r="N199" s="826">
        <v>5000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3"/>
      <c r="B200" s="280"/>
      <c r="C200" s="210"/>
      <c r="D200" s="281" t="s">
        <v>98</v>
      </c>
      <c r="E200" s="32"/>
      <c r="F200" s="32"/>
      <c r="G200" s="34"/>
      <c r="H200" s="622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IFERROR(__xludf.DUMMYFUNCTION("IMPORTRANGE(""https://docs.google.com/spreadsheets/d/1QqKyyYR6Q21VydFLVH3TRQUabQu_ym0Zz7PgGX0-kHA/edit?usp=sharing"",""แผน!AF86"")"),40000)</f>
        <v>40000</v>
      </c>
      <c r="M200" s="497"/>
      <c r="N200" s="826">
        <v>40000</v>
      </c>
      <c r="O200" s="497"/>
      <c r="P200" s="497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2"/>
      <c r="F201" s="32"/>
      <c r="G201" s="34"/>
      <c r="H201" s="622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IFERROR(__xludf.DUMMYFUNCTION("IMPORTRANGE(""https://docs.google.com/spreadsheets/d/1QqKyyYR6Q21VydFLVH3TRQUabQu_ym0Zz7PgGX0-kHA/edit?usp=sharing"",""แผน!AG86"")"),20000)</f>
        <v>20000</v>
      </c>
      <c r="M201" s="497"/>
      <c r="N201" s="826">
        <v>20000</v>
      </c>
      <c r="O201" s="497"/>
      <c r="P201" s="497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2"/>
      <c r="F202" s="32"/>
      <c r="G202" s="34"/>
      <c r="H202" s="622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IFERROR(__xludf.DUMMYFUNCTION("IMPORTRANGE(""https://docs.google.com/spreadsheets/d/1QqKyyYR6Q21VydFLVH3TRQUabQu_ym0Zz7PgGX0-kHA/edit?usp=sharing"",""แผน!AH86"")"),0)</f>
        <v>0</v>
      </c>
      <c r="M202" s="497"/>
      <c r="N202" s="826">
        <v>0</v>
      </c>
      <c r="O202" s="497"/>
      <c r="P202" s="497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69"/>
      <c r="B203" s="170"/>
      <c r="C203" s="210" t="s">
        <v>16</v>
      </c>
      <c r="D203" s="847" t="s">
        <v>38</v>
      </c>
      <c r="E203" s="172"/>
      <c r="F203" s="172"/>
      <c r="G203" s="173"/>
      <c r="H203" s="761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61" t="s">
        <v>96</v>
      </c>
      <c r="I204" s="269">
        <f ca="1">IFERROR(__xludf.DUMMYFUNCTION("IMPORTRANGE(""https://docs.google.com/spreadsheets/d/1QqKyyYR6Q21VydFLVH3TRQUabQu_ym0Zz7PgGX0-kHA/edit?usp=sharing"",""แผน!AI86"")"),5)</f>
        <v>5</v>
      </c>
      <c r="J204" s="214">
        <v>5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7" t="s">
        <v>59</v>
      </c>
      <c r="E205" s="177"/>
      <c r="F205" s="177"/>
      <c r="G205" s="178"/>
      <c r="H205" s="761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31" t="s">
        <v>102</v>
      </c>
      <c r="F206" s="286"/>
      <c r="G206" s="287"/>
      <c r="H206" s="288" t="s">
        <v>96</v>
      </c>
      <c r="I206" s="269">
        <v>5</v>
      </c>
      <c r="J206" s="214">
        <v>5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7"/>
      <c r="E207" s="447" t="s">
        <v>103</v>
      </c>
      <c r="F207" s="177"/>
      <c r="G207" s="177"/>
      <c r="H207" s="289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ca="1">I215</f>
        <v>7</v>
      </c>
      <c r="J208" s="271">
        <f>J215</f>
        <v>7</v>
      </c>
      <c r="K208" s="272">
        <f ca="1">IF(I208&gt;0,J208*100/I208,0)</f>
        <v>100</v>
      </c>
      <c r="L208" s="261"/>
      <c r="M208" s="261"/>
      <c r="N208" s="261"/>
      <c r="O208" s="261"/>
      <c r="P208" s="261"/>
    </row>
    <row r="209" spans="1:26" ht="19.5">
      <c r="A209" s="146"/>
      <c r="B209" s="147"/>
      <c r="C209" s="148" t="s">
        <v>16</v>
      </c>
      <c r="D209" s="854" t="s">
        <v>17</v>
      </c>
      <c r="E209" s="147"/>
      <c r="F209" s="147"/>
      <c r="G209" s="150"/>
      <c r="H209" s="274" t="s">
        <v>12</v>
      </c>
      <c r="I209" s="419"/>
      <c r="J209" s="419"/>
      <c r="K209" s="279"/>
      <c r="L209" s="154">
        <f ca="1">L210+L211+L212</f>
        <v>98000</v>
      </c>
      <c r="M209" s="154"/>
      <c r="N209" s="154">
        <f>N210+N211+N212</f>
        <v>98000</v>
      </c>
      <c r="O209" s="154">
        <f ca="1">IF(L209&gt;0,N209*100/L209,0)</f>
        <v>100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IFERROR(__xludf.DUMMYFUNCTION("IMPORTRANGE(""https://docs.google.com/spreadsheets/d/1QqKyyYR6Q21VydFLVH3TRQUabQu_ym0Zz7PgGX0-kHA/edit?usp=sharing"",""แผน!AK86"")"),7000)</f>
        <v>7000</v>
      </c>
      <c r="M210" s="497"/>
      <c r="N210" s="826">
        <v>7000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>
      <c r="A211" s="283"/>
      <c r="B211" s="280"/>
      <c r="C211" s="291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IFERROR(__xludf.DUMMYFUNCTION("IMPORTRANGE(""https://docs.google.com/spreadsheets/d/1QqKyyYR6Q21VydFLVH3TRQUabQu_ym0Zz7PgGX0-kHA/edit?usp=sharing"",""แผน!AL86"")"),35000)</f>
        <v>35000</v>
      </c>
      <c r="M211" s="497"/>
      <c r="N211" s="826">
        <v>35000</v>
      </c>
      <c r="O211" s="497"/>
      <c r="P211" s="497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>
      <c r="A212" s="283"/>
      <c r="B212" s="280"/>
      <c r="C212" s="291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IFERROR(__xludf.DUMMYFUNCTION("IMPORTRANGE(""https://docs.google.com/spreadsheets/d/1QqKyyYR6Q21VydFLVH3TRQUabQu_ym0Zz7PgGX0-kHA/edit?usp=sharing"",""แผน!AM86"")"),56000)</f>
        <v>56000</v>
      </c>
      <c r="M212" s="497"/>
      <c r="N212" s="826">
        <v>56000</v>
      </c>
      <c r="O212" s="497"/>
      <c r="P212" s="497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>
      <c r="A213" s="169"/>
      <c r="B213" s="170"/>
      <c r="C213" s="291" t="s">
        <v>16</v>
      </c>
      <c r="D213" s="847" t="s">
        <v>38</v>
      </c>
      <c r="E213" s="172"/>
      <c r="F213" s="172"/>
      <c r="G213" s="173"/>
      <c r="H213" s="761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>
      <c r="A214" s="169"/>
      <c r="B214" s="170"/>
      <c r="C214" s="170"/>
      <c r="D214" s="175" t="s">
        <v>106</v>
      </c>
      <c r="E214" s="177"/>
      <c r="F214" s="177"/>
      <c r="G214" s="178"/>
      <c r="H214" s="761" t="s">
        <v>96</v>
      </c>
      <c r="I214" s="269">
        <f ca="1">IFERROR(__xludf.DUMMYFUNCTION("IMPORTRANGE(""https://docs.google.com/spreadsheets/d/1QqKyyYR6Q21VydFLVH3TRQUabQu_ym0Zz7PgGX0-kHA/edit?usp=sharing"",""แผน!AN86"")"),7)</f>
        <v>7</v>
      </c>
      <c r="J214" s="214">
        <v>7</v>
      </c>
      <c r="K214" s="497">
        <f ca="1">IF(I214&gt;0,J214*100/I214,0)</f>
        <v>100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>
      <c r="A215" s="169"/>
      <c r="B215" s="170"/>
      <c r="C215" s="170"/>
      <c r="D215" s="175" t="s">
        <v>107</v>
      </c>
      <c r="E215" s="177"/>
      <c r="F215" s="177"/>
      <c r="G215" s="178"/>
      <c r="H215" s="761" t="s">
        <v>96</v>
      </c>
      <c r="I215" s="269">
        <f ca="1">IFERROR(__xludf.DUMMYFUNCTION("IMPORTRANGE(""https://docs.google.com/spreadsheets/d/1QqKyyYR6Q21VydFLVH3TRQUabQu_ym0Zz7PgGX0-kHA/edit?usp=sharing"",""แผน!AN86"")"),7)</f>
        <v>7</v>
      </c>
      <c r="J215" s="214">
        <v>7</v>
      </c>
      <c r="K215" s="497">
        <f ca="1">IF(I215&gt;0,J215*100/I215,0)</f>
        <v>100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ca="1">I224</f>
        <v>15000</v>
      </c>
      <c r="J216" s="271">
        <f>J224</f>
        <v>15000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54" t="s">
        <v>17</v>
      </c>
      <c r="E217" s="147"/>
      <c r="F217" s="147"/>
      <c r="G217" s="150"/>
      <c r="H217" s="274" t="s">
        <v>12</v>
      </c>
      <c r="I217" s="419"/>
      <c r="J217" s="419"/>
      <c r="K217" s="279"/>
      <c r="L217" s="154">
        <f ca="1">L218+L219+L220</f>
        <v>7400</v>
      </c>
      <c r="M217" s="154"/>
      <c r="N217" s="154">
        <f>N218+N219+N220</f>
        <v>7400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IFERROR(__xludf.DUMMYFUNCTION("IMPORTRANGE(""https://docs.google.com/spreadsheets/d/1QqKyyYR6Q21VydFLVH3TRQUabQu_ym0Zz7PgGX0-kHA/edit?usp=sharing"",""แผน!AP86"")"),3000)</f>
        <v>3000</v>
      </c>
      <c r="M218" s="497"/>
      <c r="N218" s="826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3"/>
      <c r="B219" s="280"/>
      <c r="C219" s="291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IFERROR(__xludf.DUMMYFUNCTION("IMPORTRANGE(""https://docs.google.com/spreadsheets/d/1QqKyyYR6Q21VydFLVH3TRQUabQu_ym0Zz7PgGX0-kHA/edit?usp=sharing"",""แผน!AQ86"")"),4400)</f>
        <v>4400</v>
      </c>
      <c r="M219" s="497"/>
      <c r="N219" s="826">
        <v>4400</v>
      </c>
      <c r="O219" s="497"/>
      <c r="P219" s="497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IFERROR(__xludf.DUMMYFUNCTION("IMPORTRANGE(""https://docs.google.com/spreadsheets/d/1QqKyyYR6Q21VydFLVH3TRQUabQu_ym0Zz7PgGX0-kHA/edit?usp=sharing"",""แผน!AR86"")"),0)</f>
        <v>0</v>
      </c>
      <c r="M220" s="497"/>
      <c r="N220" s="826">
        <v>0</v>
      </c>
      <c r="O220" s="497"/>
      <c r="P220" s="497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69"/>
      <c r="B221" s="170"/>
      <c r="C221" s="291" t="s">
        <v>16</v>
      </c>
      <c r="D221" s="847" t="s">
        <v>38</v>
      </c>
      <c r="E221" s="172"/>
      <c r="F221" s="172"/>
      <c r="G221" s="173"/>
      <c r="H221" s="761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61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63" t="s">
        <v>109</v>
      </c>
      <c r="I223" s="269">
        <f ca="1">IFERROR(__xludf.DUMMYFUNCTION("IMPORTRANGE(""https://docs.google.com/spreadsheets/d/1QqKyyYR6Q21VydFLVH3TRQUabQu_ym0Zz7PgGX0-kHA/edit?usp=sharing"",""แผน!AT86"")"),15000)</f>
        <v>15000</v>
      </c>
      <c r="J223" s="214">
        <v>15000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63" t="s">
        <v>109</v>
      </c>
      <c r="I224" s="269">
        <f ca="1">IFERROR(__xludf.DUMMYFUNCTION("IMPORTRANGE(""https://docs.google.com/spreadsheets/d/1QqKyyYR6Q21VydFLVH3TRQUabQu_ym0Zz7PgGX0-kHA/edit?usp=sharing"",""แผน!AT86"")"),15000)</f>
        <v>15000</v>
      </c>
      <c r="J224" s="214">
        <v>15000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63" t="s">
        <v>35</v>
      </c>
      <c r="I225" s="269">
        <f ca="1">IFERROR(__xludf.DUMMYFUNCTION("IMPORTRANGE(""https://docs.google.com/spreadsheets/d/1QqKyyYR6Q21VydFLVH3TRQUabQu_ym0Zz7PgGX0-kHA/edit?usp=sharing"",""แผน!AS86"")"),0)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0</v>
      </c>
      <c r="J226" s="344">
        <f>J237+J248</f>
        <v>0</v>
      </c>
      <c r="K226" s="345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0</v>
      </c>
      <c r="M227" s="355"/>
      <c r="N227" s="355">
        <f>N238+N249</f>
        <v>0</v>
      </c>
      <c r="O227" s="855"/>
      <c r="P227" s="85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6"/>
      <c r="J229" s="616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6"/>
      <c r="J230" s="616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6"/>
      <c r="J231" s="616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6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6">
        <f ca="1">I244+I255</f>
        <v>0</v>
      </c>
      <c r="J233" s="616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6"/>
      <c r="J234" s="616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6">
        <f>I246+I257</f>
        <v>0</v>
      </c>
      <c r="J235" s="616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6">
        <f>I247+I258</f>
        <v>0</v>
      </c>
      <c r="J236" s="616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270" t="s">
        <v>332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46" t="s">
        <v>17</v>
      </c>
      <c r="E238" s="147"/>
      <c r="F238" s="147"/>
      <c r="G238" s="150"/>
      <c r="H238" s="274" t="s">
        <v>12</v>
      </c>
      <c r="I238" s="419"/>
      <c r="J238" s="419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IFERROR(__xludf.DUMMYFUNCTION("IMPORTRANGE(""https://docs.google.com/spreadsheets/d/1QqKyyYR6Q21VydFLVH3TRQUabQu_ym0Zz7PgGX0-kHA/edit?usp=sharing"",""แผน!AV86"")"),0)</f>
        <v>0</v>
      </c>
      <c r="M239" s="321"/>
      <c r="N239" s="853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IFERROR(__xludf.DUMMYFUNCTION("IMPORTRANGE(""https://docs.google.com/spreadsheets/d/1QqKyyYR6Q21VydFLVH3TRQUabQu_ym0Zz7PgGX0-kHA/edit?usp=sharing"",""แผน!AW86"")"),0)</f>
        <v>0</v>
      </c>
      <c r="M240" s="321"/>
      <c r="N240" s="853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IFERROR(__xludf.DUMMYFUNCTION("IMPORTRANGE(""https://docs.google.com/spreadsheets/d/1QqKyyYR6Q21VydFLVH3TRQUabQu_ym0Zz7PgGX0-kHA/edit?usp=sharing"",""แผน!AX86"")"),0)</f>
        <v>0</v>
      </c>
      <c r="M241" s="321"/>
      <c r="N241" s="853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IFERROR(__xludf.DUMMYFUNCTION("IMPORTRANGE(""https://docs.google.com/spreadsheets/d/1QqKyyYR6Q21VydFLVH3TRQUabQu_ym0Zz7PgGX0-kHA/edit?usp=sharing"",""แผน!AY86"")"),0)</f>
        <v>0</v>
      </c>
      <c r="M242" s="321"/>
      <c r="N242" s="853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1" t="s">
        <v>16</v>
      </c>
      <c r="D243" s="847" t="s">
        <v>38</v>
      </c>
      <c r="E243" s="172"/>
      <c r="F243" s="172"/>
      <c r="G243" s="173"/>
      <c r="H243" s="761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47" t="s">
        <v>117</v>
      </c>
      <c r="E244" s="177"/>
      <c r="F244" s="177"/>
      <c r="G244" s="178"/>
      <c r="H244" s="763" t="s">
        <v>35</v>
      </c>
      <c r="I244" s="269">
        <f ca="1">IFERROR(__xludf.DUMMYFUNCTION("IMPORTRANGE(""https://docs.google.com/spreadsheets/d/1QqKyyYR6Q21VydFLVH3TRQUabQu_ym0Zz7PgGX0-kHA/edit?usp=sharing"",""แผน!BE86"")"),0)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852" t="s">
        <v>43</v>
      </c>
      <c r="E245" s="177"/>
      <c r="F245" s="177"/>
      <c r="G245" s="178"/>
      <c r="H245" s="763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175" t="s">
        <v>118</v>
      </c>
      <c r="F246" s="177"/>
      <c r="G246" s="178"/>
      <c r="H246" s="763" t="s">
        <v>35</v>
      </c>
      <c r="I246" s="269"/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763" t="s">
        <v>66</v>
      </c>
      <c r="I247" s="269"/>
      <c r="J247" s="214">
        <v>0</v>
      </c>
      <c r="K247" s="497">
        <f>IF(I247&gt;0,J247*100/I247,0)</f>
        <v>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54" t="s">
        <v>17</v>
      </c>
      <c r="E249" s="147"/>
      <c r="F249" s="147"/>
      <c r="G249" s="150"/>
      <c r="H249" s="274" t="s">
        <v>12</v>
      </c>
      <c r="I249" s="419"/>
      <c r="J249" s="419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IFERROR(__xludf.DUMMYFUNCTION("IMPORTRANGE(""https://docs.google.com/spreadsheets/d/1QqKyyYR6Q21VydFLVH3TRQUabQu_ym0Zz7PgGX0-kHA/edit?usp=sharing"",""แผน!AZ86"")"),0)</f>
        <v>0</v>
      </c>
      <c r="M250" s="321"/>
      <c r="N250" s="853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IFERROR(__xludf.DUMMYFUNCTION("IMPORTRANGE(""https://docs.google.com/spreadsheets/d/1QqKyyYR6Q21VydFLVH3TRQUabQu_ym0Zz7PgGX0-kHA/edit?usp=sharing"",""แผน!BA86"")"),0)</f>
        <v>0</v>
      </c>
      <c r="M251" s="321"/>
      <c r="N251" s="853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IFERROR(__xludf.DUMMYFUNCTION("IMPORTRANGE(""https://docs.google.com/spreadsheets/d/1QqKyyYR6Q21VydFLVH3TRQUabQu_ym0Zz7PgGX0-kHA/edit?usp=sharing"",""แผน!BB86"")"),0)</f>
        <v>0</v>
      </c>
      <c r="M252" s="321"/>
      <c r="N252" s="853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IFERROR(__xludf.DUMMYFUNCTION("IMPORTRANGE(""https://docs.google.com/spreadsheets/d/1QqKyyYR6Q21VydFLVH3TRQUabQu_ym0Zz7PgGX0-kHA/edit?usp=sharing"",""แผน!BC86"")"),0)</f>
        <v>0</v>
      </c>
      <c r="M253" s="321"/>
      <c r="N253" s="853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1" t="s">
        <v>16</v>
      </c>
      <c r="D254" s="847" t="s">
        <v>38</v>
      </c>
      <c r="E254" s="172"/>
      <c r="F254" s="172"/>
      <c r="G254" s="173"/>
      <c r="H254" s="761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7" t="s">
        <v>117</v>
      </c>
      <c r="E255" s="177"/>
      <c r="F255" s="177"/>
      <c r="G255" s="178"/>
      <c r="H255" s="763" t="s">
        <v>35</v>
      </c>
      <c r="I255" s="269">
        <f ca="1">IFERROR(__xludf.DUMMYFUNCTION("IMPORTRANGE(""https://docs.google.com/spreadsheets/d/1QqKyyYR6Q21VydFLVH3TRQUabQu_ym0Zz7PgGX0-kHA/edit?usp=sharing"",""แผน!BF86"")"),0)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52" t="s">
        <v>43</v>
      </c>
      <c r="E256" s="177"/>
      <c r="F256" s="177"/>
      <c r="G256" s="178"/>
      <c r="H256" s="763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63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63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20</v>
      </c>
      <c r="J260" s="252">
        <f>J271</f>
        <v>20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46" t="s">
        <v>17</v>
      </c>
      <c r="E261" s="147"/>
      <c r="F261" s="147"/>
      <c r="G261" s="150"/>
      <c r="H261" s="151" t="s">
        <v>12</v>
      </c>
      <c r="I261" s="420"/>
      <c r="J261" s="420"/>
      <c r="K261" s="153"/>
      <c r="L261" s="154">
        <f ca="1">L262+L263</f>
        <v>25000</v>
      </c>
      <c r="M261" s="154">
        <f ca="1">M262+M263</f>
        <v>25000</v>
      </c>
      <c r="N261" s="154">
        <f ca="1">N262+N263</f>
        <v>25000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6"/>
      <c r="J262" s="616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6"/>
      <c r="J263" s="616"/>
      <c r="K263" s="92"/>
      <c r="L263" s="92">
        <f t="shared" ca="1" si="46"/>
        <v>25000</v>
      </c>
      <c r="M263" s="92">
        <f t="shared" ca="1" si="46"/>
        <v>25000</v>
      </c>
      <c r="N263" s="92">
        <f t="shared" ca="1" si="46"/>
        <v>25000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25000</v>
      </c>
      <c r="M264" s="497">
        <f ca="1">M265+M266</f>
        <v>25000</v>
      </c>
      <c r="N264" s="497">
        <f ca="1">N265+N266</f>
        <v>25000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IFERROR(__xludf.DUMMYFUNCTION("IMPORTRANGE(""https://docs.google.com/spreadsheets/d/1MeEWN-I1oV_STSDYn1IFDPWt_1FKiwhDph83XaGc0o0/edit?usp=sharing"",""งบพรบ!CY86"")"),25000)</f>
        <v>25000</v>
      </c>
      <c r="M266" s="92">
        <f ca="1">IFERROR(__xludf.DUMMYFUNCTION("IMPORTRANGE(""https://docs.google.com/spreadsheets/d/1MeEWN-I1oV_STSDYn1IFDPWt_1FKiwhDph83XaGc0o0/edit?usp=sharing"",""งบพรบ!DD86"")"),25000)</f>
        <v>25000</v>
      </c>
      <c r="N266" s="92">
        <f ca="1">IFERROR(__xludf.DUMMYFUNCTION("IMPORTRANGE(""https://docs.google.com/spreadsheets/d/1MeEWN-I1oV_STSDYn1IFDPWt_1FKiwhDph83XaGc0o0/edit?usp=sharing"",""งบพรบ!DF86"")"),25000)</f>
        <v>25000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IFERROR(__xludf.DUMMYFUNCTION("IMPORTRANGE(""https://docs.google.com/spreadsheets/d/1MeEWN-I1oV_STSDYn1IFDPWt_1FKiwhDph83XaGc0o0/edit?usp=sharing"",""งบพรบ!DB86"")"),0)</f>
        <v>0</v>
      </c>
      <c r="M269" s="92">
        <f ca="1">IFERROR(__xludf.DUMMYFUNCTION("IMPORTRANGE(""https://docs.google.com/spreadsheets/d/1MeEWN-I1oV_STSDYn1IFDPWt_1FKiwhDph83XaGc0o0/edit?usp=sharing"",""งบพรบ!DE86"")"),0)</f>
        <v>0</v>
      </c>
      <c r="N269" s="92">
        <f ca="1">IFERROR(__xludf.DUMMYFUNCTION("IMPORTRANGE(""https://docs.google.com/spreadsheets/d/1MeEWN-I1oV_STSDYn1IFDPWt_1FKiwhDph83XaGc0o0/edit?usp=sharing"",""งบพรบ!DG86"")"),0)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47" t="s">
        <v>38</v>
      </c>
      <c r="E270" s="172"/>
      <c r="F270" s="172"/>
      <c r="G270" s="173"/>
      <c r="H270" s="761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IFERROR(__xludf.DUMMYFUNCTION("IMPORTRANGE(""https://docs.google.com/spreadsheets/d/1QqKyyYR6Q21VydFLVH3TRQUabQu_ym0Zz7PgGX0-kHA/edit?usp=sharing"",""แผน!EA86"")"),20)</f>
        <v>20</v>
      </c>
      <c r="J271" s="214">
        <v>20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5">
        <v>0</v>
      </c>
      <c r="J272" s="505">
        <v>0</v>
      </c>
      <c r="K272" s="384">
        <v>0</v>
      </c>
      <c r="L272" s="384"/>
      <c r="M272" s="384"/>
      <c r="N272" s="384"/>
      <c r="O272" s="384"/>
      <c r="P272" s="384"/>
    </row>
    <row r="273" spans="1:26" ht="19.5" hidden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9">
        <f ca="1">I287</f>
        <v>0</v>
      </c>
      <c r="J276" s="409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46" t="s">
        <v>17</v>
      </c>
      <c r="E277" s="147"/>
      <c r="F277" s="147"/>
      <c r="G277" s="150"/>
      <c r="H277" s="151" t="s">
        <v>12</v>
      </c>
      <c r="I277" s="420"/>
      <c r="J277" s="420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6"/>
      <c r="J278" s="616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6"/>
      <c r="J279" s="616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IFERROR(__xludf.DUMMYFUNCTION("IMPORTRANGE(""https://docs.google.com/spreadsheets/d/1MeEWN-I1oV_STSDYn1IFDPWt_1FKiwhDph83XaGc0o0/edit?usp=sharing"",""งบพรบ!DI86"")"),0)</f>
        <v>0</v>
      </c>
      <c r="M282" s="92">
        <f ca="1">IFERROR(__xludf.DUMMYFUNCTION("IMPORTRANGE(""https://docs.google.com/spreadsheets/d/1MeEWN-I1oV_STSDYn1IFDPWt_1FKiwhDph83XaGc0o0/edit?usp=sharing"",""งบพรบ!DN86"")"),0)</f>
        <v>0</v>
      </c>
      <c r="N282" s="92">
        <f ca="1">IFERROR(__xludf.DUMMYFUNCTION("IMPORTRANGE(""https://docs.google.com/spreadsheets/d/1MeEWN-I1oV_STSDYn1IFDPWt_1FKiwhDph83XaGc0o0/edit?usp=sharing"",""งบพรบ!DP86"")"),0)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IFERROR(__xludf.DUMMYFUNCTION("IMPORTRANGE(""https://docs.google.com/spreadsheets/d/1MeEWN-I1oV_STSDYn1IFDPWt_1FKiwhDph83XaGc0o0/edit?usp=sharing"",""งบพรบ!DL86"")"),0)</f>
        <v>0</v>
      </c>
      <c r="M285" s="92">
        <f ca="1">IFERROR(__xludf.DUMMYFUNCTION("IMPORTRANGE(""https://docs.google.com/spreadsheets/d/1MeEWN-I1oV_STSDYn1IFDPWt_1FKiwhDph83XaGc0o0/edit?usp=sharing"",""งบพรบ!DO86"")"),0)</f>
        <v>0</v>
      </c>
      <c r="N285" s="92">
        <f ca="1">IFERROR(__xludf.DUMMYFUNCTION("IMPORTRANGE(""https://docs.google.com/spreadsheets/d/1MeEWN-I1oV_STSDYn1IFDPWt_1FKiwhDph83XaGc0o0/edit?usp=sharing"",""งบพรบ!DQ86"")"),0)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47" t="s">
        <v>38</v>
      </c>
      <c r="E286" s="172"/>
      <c r="F286" s="172"/>
      <c r="G286" s="173"/>
      <c r="H286" s="761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5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IFERROR(__xludf.DUMMYFUNCTION("IMPORTRANGE(""https://docs.google.com/spreadsheets/d/1QqKyyYR6Q21VydFLVH3TRQUabQu_ym0Zz7PgGX0-kHA/edit?usp=sharing"",""แผน!EC86"")"),0)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5" t="s">
        <v>130</v>
      </c>
      <c r="E288" s="170"/>
      <c r="F288" s="177"/>
      <c r="G288" s="178"/>
      <c r="H288" s="179" t="s">
        <v>35</v>
      </c>
      <c r="I288" s="680">
        <f ca="1">IFERROR(__xludf.DUMMYFUNCTION("IMPORTRANGE(""https://docs.google.com/spreadsheets/d/1QqKyyYR6Q21VydFLVH3TRQUabQu_ym0Zz7PgGX0-kHA/edit?usp=sharing"",""แผน!EB86"")"),0)</f>
        <v>0</v>
      </c>
      <c r="J288" s="680">
        <f ca="1">IF(AND(J291&gt;=I288,J294&gt;=I288),J294,0)</f>
        <v>0</v>
      </c>
      <c r="K288" s="411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2"/>
      <c r="E289" s="413" t="s">
        <v>131</v>
      </c>
      <c r="F289" s="177"/>
      <c r="G289" s="178"/>
      <c r="H289" s="763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2"/>
      <c r="E290" s="625" t="s">
        <v>132</v>
      </c>
      <c r="F290" s="177"/>
      <c r="G290" s="178"/>
      <c r="H290" s="763" t="s">
        <v>35</v>
      </c>
      <c r="I290" s="183">
        <f ca="1">IFERROR(__xludf.DUMMYFUNCTION("IMPORTRANGE(""https://docs.google.com/spreadsheets/d/1QqKyyYR6Q21VydFLVH3TRQUabQu_ym0Zz7PgGX0-kHA/edit?usp=sharing"",""แผน!EB86"")"),0)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5" t="s">
        <v>336</v>
      </c>
      <c r="F291" s="177"/>
      <c r="G291" s="178"/>
      <c r="H291" s="763" t="s">
        <v>35</v>
      </c>
      <c r="I291" s="183">
        <f ca="1">IFERROR(__xludf.DUMMYFUNCTION("IMPORTRANGE(""https://docs.google.com/spreadsheets/d/1QqKyyYR6Q21VydFLVH3TRQUabQu_ym0Zz7PgGX0-kHA/edit?usp=sharing"",""แผน!EB86"")"),0)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4"/>
      <c r="B292" s="415"/>
      <c r="C292" s="415"/>
      <c r="D292" s="416"/>
      <c r="E292" s="417" t="s">
        <v>134</v>
      </c>
      <c r="F292" s="286"/>
      <c r="G292" s="287"/>
      <c r="H292" s="418"/>
      <c r="I292" s="419"/>
      <c r="J292" s="420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2"/>
      <c r="E293" s="625" t="s">
        <v>132</v>
      </c>
      <c r="F293" s="177"/>
      <c r="G293" s="178"/>
      <c r="H293" s="763" t="s">
        <v>35</v>
      </c>
      <c r="I293" s="183">
        <f ca="1">IFERROR(__xludf.DUMMYFUNCTION("IMPORTRANGE(""https://docs.google.com/spreadsheets/d/1QqKyyYR6Q21VydFLVH3TRQUabQu_ym0Zz7PgGX0-kHA/edit?usp=sharing"",""แผน!EB86"")"),0)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33" t="s">
        <v>336</v>
      </c>
      <c r="F294" s="380"/>
      <c r="G294" s="381"/>
      <c r="H294" s="422" t="s">
        <v>35</v>
      </c>
      <c r="I294" s="423">
        <f ca="1">IFERROR(__xludf.DUMMYFUNCTION("IMPORTRANGE(""https://docs.google.com/spreadsheets/d/1QqKyyYR6Q21VydFLVH3TRQUabQu_ym0Zz7PgGX0-kHA/edit?usp=sharing"",""แผน!EB86"")"),0)</f>
        <v>0</v>
      </c>
      <c r="J294" s="424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20</v>
      </c>
      <c r="J297" s="444">
        <f>J309</f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6"/>
      <c r="B298" s="147"/>
      <c r="C298" s="148" t="s">
        <v>16</v>
      </c>
      <c r="D298" s="846" t="s">
        <v>17</v>
      </c>
      <c r="E298" s="147"/>
      <c r="F298" s="147"/>
      <c r="G298" s="150"/>
      <c r="H298" s="151" t="s">
        <v>12</v>
      </c>
      <c r="I298" s="420"/>
      <c r="J298" s="420"/>
      <c r="K298" s="153"/>
      <c r="L298" s="154">
        <f ca="1">L299+L300</f>
        <v>82400</v>
      </c>
      <c r="M298" s="154">
        <f ca="1">M299+M300</f>
        <v>82400</v>
      </c>
      <c r="N298" s="154">
        <f ca="1">N299+N300</f>
        <v>82400</v>
      </c>
      <c r="O298" s="154">
        <f t="shared" ref="O298:O306" ca="1" si="50">IF(L298&gt;0,N298*100/L298,0)</f>
        <v>100</v>
      </c>
      <c r="P298" s="154">
        <f t="shared" ref="P298:P306" ca="1" si="51">IF(M298&gt;0,N298*100/M298,0)</f>
        <v>100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6"/>
      <c r="J299" s="616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6"/>
      <c r="J300" s="616"/>
      <c r="K300" s="92"/>
      <c r="L300" s="92">
        <f t="shared" ca="1" si="52"/>
        <v>82400</v>
      </c>
      <c r="M300" s="92">
        <f t="shared" ca="1" si="52"/>
        <v>82400</v>
      </c>
      <c r="N300" s="92">
        <f t="shared" ca="1" si="52"/>
        <v>82400</v>
      </c>
      <c r="O300" s="92">
        <f t="shared" ca="1" si="50"/>
        <v>100</v>
      </c>
      <c r="P300" s="92">
        <f t="shared" ca="1" si="51"/>
        <v>100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82400</v>
      </c>
      <c r="M301" s="497">
        <f ca="1">M302+M303</f>
        <v>82400</v>
      </c>
      <c r="N301" s="497">
        <f ca="1">N302+N303</f>
        <v>82400</v>
      </c>
      <c r="O301" s="497">
        <f t="shared" ca="1" si="50"/>
        <v>100</v>
      </c>
      <c r="P301" s="497">
        <f t="shared" ca="1" si="51"/>
        <v>100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IFERROR(__xludf.DUMMYFUNCTION("IMPORTRANGE(""https://docs.google.com/spreadsheets/d/1MeEWN-I1oV_STSDYn1IFDPWt_1FKiwhDph83XaGc0o0/edit?usp=sharing"",""งบพรบ!DS86"")"),82400)</f>
        <v>82400</v>
      </c>
      <c r="M303" s="92">
        <f ca="1">IFERROR(__xludf.DUMMYFUNCTION("IMPORTRANGE(""https://docs.google.com/spreadsheets/d/1MeEWN-I1oV_STSDYn1IFDPWt_1FKiwhDph83XaGc0o0/edit?usp=sharing"",""งบพรบ!DX86"")"),82400)</f>
        <v>82400</v>
      </c>
      <c r="N303" s="92">
        <f ca="1">IFERROR(__xludf.DUMMYFUNCTION("IMPORTRANGE(""https://docs.google.com/spreadsheets/d/1MeEWN-I1oV_STSDYn1IFDPWt_1FKiwhDph83XaGc0o0/edit?usp=sharing"",""งบพรบ!DZ86"")"),82400)</f>
        <v>82400</v>
      </c>
      <c r="O303" s="92">
        <f t="shared" ca="1" si="50"/>
        <v>100</v>
      </c>
      <c r="P303" s="92">
        <f t="shared" ca="1" si="51"/>
        <v>100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IFERROR(__xludf.DUMMYFUNCTION("IMPORTRANGE(""https://docs.google.com/spreadsheets/d/1MeEWN-I1oV_STSDYn1IFDPWt_1FKiwhDph83XaGc0o0/edit?usp=sharing"",""งบพรบ!DV86"")"),0)</f>
        <v>0</v>
      </c>
      <c r="M306" s="92">
        <f ca="1">IFERROR(__xludf.DUMMYFUNCTION("IMPORTRANGE(""https://docs.google.com/spreadsheets/d/1MeEWN-I1oV_STSDYn1IFDPWt_1FKiwhDph83XaGc0o0/edit?usp=sharing"",""งบพรบ!DY86"")"),0)</f>
        <v>0</v>
      </c>
      <c r="N306" s="92">
        <f ca="1">IFERROR(__xludf.DUMMYFUNCTION("IMPORTRANGE(""https://docs.google.com/spreadsheets/d/1MeEWN-I1oV_STSDYn1IFDPWt_1FKiwhDph83XaGc0o0/edit?usp=sharing"",""งบพรบ!EA86"")"),0)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47" t="s">
        <v>38</v>
      </c>
      <c r="E307" s="172"/>
      <c r="F307" s="172"/>
      <c r="G307" s="173"/>
      <c r="H307" s="761"/>
      <c r="I307" s="269"/>
      <c r="J307" s="269"/>
      <c r="K307" s="497"/>
      <c r="L307" s="497"/>
      <c r="M307" s="497"/>
      <c r="N307" s="497"/>
      <c r="O307" s="497"/>
      <c r="P307" s="497"/>
    </row>
    <row r="308" spans="1:26" ht="18.75">
      <c r="A308" s="169"/>
      <c r="B308" s="170"/>
      <c r="C308" s="170"/>
      <c r="D308" s="447" t="s">
        <v>140</v>
      </c>
      <c r="E308" s="447"/>
      <c r="F308" s="447"/>
      <c r="G308" s="178"/>
      <c r="H308" s="763"/>
      <c r="I308" s="269"/>
      <c r="J308" s="214">
        <v>1</v>
      </c>
      <c r="K308" s="497"/>
      <c r="L308" s="497"/>
      <c r="M308" s="497"/>
      <c r="N308" s="497"/>
      <c r="O308" s="497"/>
      <c r="P308" s="497"/>
    </row>
    <row r="309" spans="1:26" ht="18.75">
      <c r="A309" s="169"/>
      <c r="B309" s="170"/>
      <c r="C309" s="170"/>
      <c r="D309" s="447" t="s">
        <v>141</v>
      </c>
      <c r="E309" s="447"/>
      <c r="F309" s="447"/>
      <c r="G309" s="178"/>
      <c r="H309" s="763" t="s">
        <v>35</v>
      </c>
      <c r="I309" s="269">
        <f ca="1">IFERROR(__xludf.DUMMYFUNCTION("IMPORTRANGE(""https://docs.google.com/spreadsheets/d/1QqKyyYR6Q21VydFLVH3TRQUabQu_ym0Zz7PgGX0-kHA/edit?usp=sharing"",""แผน!ED86"")"),20)</f>
        <v>20</v>
      </c>
      <c r="J309" s="214">
        <v>20</v>
      </c>
      <c r="K309" s="497">
        <f ca="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69"/>
      <c r="B310" s="170"/>
      <c r="C310" s="170"/>
      <c r="D310" s="447" t="s">
        <v>142</v>
      </c>
      <c r="E310" s="447"/>
      <c r="F310" s="447"/>
      <c r="G310" s="178"/>
      <c r="H310" s="763" t="s">
        <v>35</v>
      </c>
      <c r="I310" s="269">
        <f ca="1">IFERROR(__xludf.DUMMYFUNCTION("IMPORTRANGE(""https://docs.google.com/spreadsheets/d/1QqKyyYR6Q21VydFLVH3TRQUabQu_ym0Zz7PgGX0-kHA/edit?usp=sharing"",""แผน!ED86"")"),20)</f>
        <v>20</v>
      </c>
      <c r="J310" s="214">
        <v>20</v>
      </c>
      <c r="K310" s="497">
        <f ca="1">IF(I310&gt;0,J310*100/I310,0)</f>
        <v>100</v>
      </c>
      <c r="L310" s="497"/>
      <c r="M310" s="497"/>
      <c r="N310" s="497"/>
      <c r="O310" s="497"/>
      <c r="P310" s="497"/>
    </row>
    <row r="311" spans="1:26" ht="18.75">
      <c r="A311" s="169"/>
      <c r="B311" s="170"/>
      <c r="C311" s="170"/>
      <c r="D311" s="447" t="s">
        <v>59</v>
      </c>
      <c r="E311" s="447"/>
      <c r="F311" s="447"/>
      <c r="G311" s="178"/>
      <c r="H311" s="763" t="s">
        <v>35</v>
      </c>
      <c r="I311" s="269">
        <f ca="1">IFERROR(__xludf.DUMMYFUNCTION("IMPORTRANGE(""https://docs.google.com/spreadsheets/d/1QqKyyYR6Q21VydFLVH3TRQUabQu_ym0Zz7PgGX0-kHA/edit?usp=sharing"",""แผน!ED86"")"),20)</f>
        <v>20</v>
      </c>
      <c r="J311" s="214">
        <v>20</v>
      </c>
      <c r="K311" s="497">
        <f ca="1">IF(I311&gt;0,J311*100/I311,0)</f>
        <v>100</v>
      </c>
      <c r="L311" s="497"/>
      <c r="M311" s="497"/>
      <c r="N311" s="497"/>
      <c r="O311" s="497"/>
      <c r="P311" s="497"/>
    </row>
    <row r="312" spans="1:26" ht="18.75">
      <c r="A312" s="169"/>
      <c r="B312" s="170"/>
      <c r="C312" s="170"/>
      <c r="D312" s="447" t="s">
        <v>143</v>
      </c>
      <c r="E312" s="447"/>
      <c r="F312" s="447"/>
      <c r="G312" s="178"/>
      <c r="H312" s="763" t="s">
        <v>35</v>
      </c>
      <c r="I312" s="269">
        <f ca="1">IFERROR(__xludf.DUMMYFUNCTION("IMPORTRANGE(""https://docs.google.com/spreadsheets/d/1QqKyyYR6Q21VydFLVH3TRQUabQu_ym0Zz7PgGX0-kHA/edit?usp=sharing"",""แผน!EE86"")"),4)</f>
        <v>4</v>
      </c>
      <c r="J312" s="214">
        <v>4</v>
      </c>
      <c r="K312" s="497">
        <f ca="1">IF(I312&gt;0,J312*100/I312,0)</f>
        <v>100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1</v>
      </c>
      <c r="J314" s="444">
        <f>J325</f>
        <v>1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6"/>
      <c r="B315" s="147"/>
      <c r="C315" s="148" t="s">
        <v>16</v>
      </c>
      <c r="D315" s="846" t="s">
        <v>17</v>
      </c>
      <c r="E315" s="147"/>
      <c r="F315" s="147"/>
      <c r="G315" s="150"/>
      <c r="H315" s="151" t="s">
        <v>12</v>
      </c>
      <c r="I315" s="420"/>
      <c r="J315" s="420"/>
      <c r="K315" s="153"/>
      <c r="L315" s="154">
        <f ca="1">L316+L317</f>
        <v>296000</v>
      </c>
      <c r="M315" s="154">
        <f ca="1">M316+M317</f>
        <v>327810.94</v>
      </c>
      <c r="N315" s="154">
        <f ca="1">N316+N317</f>
        <v>327810.94</v>
      </c>
      <c r="O315" s="154">
        <f t="shared" ref="O315:O323" ca="1" si="53">IF(L315&gt;0,N315*100/L315,0)</f>
        <v>110.74693918918919</v>
      </c>
      <c r="P315" s="154">
        <f t="shared" ref="P315:P323" ca="1" si="54">IF(M315&gt;0,N315*100/M315,0)</f>
        <v>100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6"/>
      <c r="J316" s="616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6"/>
      <c r="J317" s="616"/>
      <c r="K317" s="92"/>
      <c r="L317" s="92">
        <f t="shared" ca="1" si="55"/>
        <v>296000</v>
      </c>
      <c r="M317" s="92">
        <f t="shared" ca="1" si="55"/>
        <v>327810.94</v>
      </c>
      <c r="N317" s="92">
        <f t="shared" ca="1" si="55"/>
        <v>327810.94</v>
      </c>
      <c r="O317" s="92">
        <f t="shared" ca="1" si="53"/>
        <v>110.74693918918919</v>
      </c>
      <c r="P317" s="92">
        <f t="shared" ca="1" si="54"/>
        <v>100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296000</v>
      </c>
      <c r="M318" s="497">
        <f ca="1">M319+M320</f>
        <v>296000</v>
      </c>
      <c r="N318" s="497">
        <f ca="1">N319+N320</f>
        <v>296000</v>
      </c>
      <c r="O318" s="497">
        <f t="shared" ca="1" si="53"/>
        <v>100</v>
      </c>
      <c r="P318" s="497">
        <f t="shared" ca="1" si="54"/>
        <v>100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IFERROR(__xludf.DUMMYFUNCTION("IMPORTRANGE(""https://docs.google.com/spreadsheets/d/1MeEWN-I1oV_STSDYn1IFDPWt_1FKiwhDph83XaGc0o0/edit?usp=sharing"",""งบพรบ!EC86"")"),296000)</f>
        <v>296000</v>
      </c>
      <c r="M320" s="92">
        <f ca="1">IFERROR(__xludf.DUMMYFUNCTION("IMPORTRANGE(""https://docs.google.com/spreadsheets/d/1MeEWN-I1oV_STSDYn1IFDPWt_1FKiwhDph83XaGc0o0/edit?usp=sharing"",""งบพรบ!EH86"")"),296000)</f>
        <v>296000</v>
      </c>
      <c r="N320" s="92">
        <f ca="1">IFERROR(__xludf.DUMMYFUNCTION("IMPORTRANGE(""https://docs.google.com/spreadsheets/d/1MeEWN-I1oV_STSDYn1IFDPWt_1FKiwhDph83XaGc0o0/edit?usp=sharing"",""งบพรบ!EJ86"")"),296000)</f>
        <v>296000</v>
      </c>
      <c r="O320" s="92">
        <f t="shared" ca="1" si="53"/>
        <v>100</v>
      </c>
      <c r="P320" s="92">
        <f t="shared" ca="1" si="54"/>
        <v>100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31810.94</v>
      </c>
      <c r="N321" s="497">
        <f ca="1">N322+N323</f>
        <v>31810.94</v>
      </c>
      <c r="O321" s="497">
        <f t="shared" ca="1" si="53"/>
        <v>0</v>
      </c>
      <c r="P321" s="497">
        <f t="shared" ca="1" si="54"/>
        <v>100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IFERROR(__xludf.DUMMYFUNCTION("IMPORTRANGE(""https://docs.google.com/spreadsheets/d/1MeEWN-I1oV_STSDYn1IFDPWt_1FKiwhDph83XaGc0o0/edit?usp=sharing"",""งบพรบ!EF86"")"),0)</f>
        <v>0</v>
      </c>
      <c r="M323" s="92">
        <f ca="1">IFERROR(__xludf.DUMMYFUNCTION("IMPORTRANGE(""https://docs.google.com/spreadsheets/d/1MeEWN-I1oV_STSDYn1IFDPWt_1FKiwhDph83XaGc0o0/edit?usp=sharing"",""งบพรบ!EI86"")"),31810.94)</f>
        <v>31810.94</v>
      </c>
      <c r="N323" s="92">
        <f ca="1">IFERROR(__xludf.DUMMYFUNCTION("IMPORTRANGE(""https://docs.google.com/spreadsheets/d/1MeEWN-I1oV_STSDYn1IFDPWt_1FKiwhDph83XaGc0o0/edit?usp=sharing"",""งบพรบ!EK86"")"),31810.94)</f>
        <v>31810.94</v>
      </c>
      <c r="O323" s="92">
        <f t="shared" ca="1" si="53"/>
        <v>0</v>
      </c>
      <c r="P323" s="92">
        <f t="shared" ca="1" si="54"/>
        <v>100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>
      <c r="A324" s="169"/>
      <c r="B324" s="170"/>
      <c r="C324" s="163" t="s">
        <v>16</v>
      </c>
      <c r="D324" s="847" t="s">
        <v>38</v>
      </c>
      <c r="E324" s="172"/>
      <c r="F324" s="172"/>
      <c r="G324" s="173"/>
      <c r="H324" s="761"/>
      <c r="I324" s="183"/>
      <c r="J324" s="269"/>
      <c r="K324" s="497"/>
      <c r="L324" s="497"/>
      <c r="M324" s="497"/>
      <c r="N324" s="497"/>
      <c r="O324" s="162"/>
      <c r="P324" s="162"/>
    </row>
    <row r="325" spans="1:26" ht="18.75">
      <c r="A325" s="169"/>
      <c r="B325" s="170"/>
      <c r="C325" s="170"/>
      <c r="D325" s="175" t="s">
        <v>147</v>
      </c>
      <c r="E325" s="177"/>
      <c r="F325" s="447"/>
      <c r="G325" s="178"/>
      <c r="H325" s="622" t="s">
        <v>146</v>
      </c>
      <c r="I325" s="269">
        <f ca="1">IFERROR(__xludf.DUMMYFUNCTION("IMPORTRANGE(""https://docs.google.com/spreadsheets/d/1QqKyyYR6Q21VydFLVH3TRQUabQu_ym0Zz7PgGX0-kHA/edit?usp=sharing"",""แผน!EF86"")"),1)</f>
        <v>1</v>
      </c>
      <c r="J325" s="214">
        <v>1</v>
      </c>
      <c r="K325" s="497">
        <f ca="1">IF(I325&gt;0,J325*100/I325,0)</f>
        <v>100</v>
      </c>
      <c r="L325" s="497"/>
      <c r="M325" s="497"/>
      <c r="N325" s="497"/>
      <c r="O325" s="162"/>
      <c r="P325" s="162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IFERROR(__xludf.DUMMYFUNCTION("IMPORTRANGE(""https://docs.google.com/spreadsheets/d/1QqKyyYR6Q21VydFLVH3TRQUabQu_ym0Zz7PgGX0-kHA/edit?usp=sharing"",""แผน!EG86"")"),1300)</f>
        <v>1300</v>
      </c>
      <c r="J327" s="444">
        <f ca="1">J338+J341+J342+J343</f>
        <v>3349</v>
      </c>
      <c r="K327" s="445">
        <f ca="1">IF(I327&gt;0,J327*100/I327,0)</f>
        <v>257.61538461538464</v>
      </c>
      <c r="L327" s="446"/>
      <c r="M327" s="446"/>
      <c r="N327" s="446"/>
      <c r="O327" s="446"/>
      <c r="P327" s="446"/>
    </row>
    <row r="328" spans="1:26" ht="19.5">
      <c r="A328" s="146"/>
      <c r="B328" s="147"/>
      <c r="C328" s="148" t="s">
        <v>16</v>
      </c>
      <c r="D328" s="846" t="s">
        <v>17</v>
      </c>
      <c r="E328" s="147"/>
      <c r="F328" s="147"/>
      <c r="G328" s="150"/>
      <c r="H328" s="151" t="s">
        <v>12</v>
      </c>
      <c r="I328" s="420"/>
      <c r="J328" s="420"/>
      <c r="K328" s="153"/>
      <c r="L328" s="154">
        <f ca="1">L329+L330</f>
        <v>168000</v>
      </c>
      <c r="M328" s="154">
        <f ca="1">M329+M330</f>
        <v>170500</v>
      </c>
      <c r="N328" s="154">
        <f ca="1">N329+N330</f>
        <v>170500</v>
      </c>
      <c r="O328" s="154">
        <f t="shared" ref="O328:O336" ca="1" si="56">IF(L328&gt;0,N328*100/L328,0)</f>
        <v>101.48809523809524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6"/>
      <c r="J329" s="616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6"/>
      <c r="J330" s="616"/>
      <c r="K330" s="92"/>
      <c r="L330" s="92">
        <f t="shared" ca="1" si="58"/>
        <v>168000</v>
      </c>
      <c r="M330" s="92">
        <f t="shared" ca="1" si="58"/>
        <v>170500</v>
      </c>
      <c r="N330" s="92">
        <f t="shared" ca="1" si="58"/>
        <v>170500</v>
      </c>
      <c r="O330" s="92">
        <f t="shared" ca="1" si="56"/>
        <v>101.48809523809524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168000</v>
      </c>
      <c r="M331" s="497">
        <f ca="1">M332+M333</f>
        <v>170500</v>
      </c>
      <c r="N331" s="497">
        <f ca="1">N332+N333</f>
        <v>170500</v>
      </c>
      <c r="O331" s="497">
        <f t="shared" ca="1" si="56"/>
        <v>101.48809523809524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IFERROR(__xludf.DUMMYFUNCTION("IMPORTRANGE(""https://docs.google.com/spreadsheets/d/1MeEWN-I1oV_STSDYn1IFDPWt_1FKiwhDph83XaGc0o0/edit?usp=sharing"",""งบพรบ!EM86"")"),168000)</f>
        <v>168000</v>
      </c>
      <c r="M333" s="92">
        <f ca="1">IFERROR(__xludf.DUMMYFUNCTION("IMPORTRANGE(""https://docs.google.com/spreadsheets/d/1MeEWN-I1oV_STSDYn1IFDPWt_1FKiwhDph83XaGc0o0/edit?usp=sharing"",""งบพรบ!ER86"")"),170500)</f>
        <v>170500</v>
      </c>
      <c r="N333" s="92">
        <f ca="1">IFERROR(__xludf.DUMMYFUNCTION("IMPORTRANGE(""https://docs.google.com/spreadsheets/d/1MeEWN-I1oV_STSDYn1IFDPWt_1FKiwhDph83XaGc0o0/edit?usp=sharing"",""งบพรบ!ET86"")"),170500)</f>
        <v>170500</v>
      </c>
      <c r="O333" s="92">
        <f t="shared" ca="1" si="56"/>
        <v>101.48809523809524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IFERROR(__xludf.DUMMYFUNCTION("IMPORTRANGE(""https://docs.google.com/spreadsheets/d/1MeEWN-I1oV_STSDYn1IFDPWt_1FKiwhDph83XaGc0o0/edit?usp=sharing"",""งบพรบ!EP86"")"),0)</f>
        <v>0</v>
      </c>
      <c r="M336" s="92">
        <f ca="1">IFERROR(__xludf.DUMMYFUNCTION("IMPORTRANGE(""https://docs.google.com/spreadsheets/d/1MeEWN-I1oV_STSDYn1IFDPWt_1FKiwhDph83XaGc0o0/edit?usp=sharing"",""งบพรบ!ES86"")"),0)</f>
        <v>0</v>
      </c>
      <c r="N336" s="92">
        <f ca="1">IFERROR(__xludf.DUMMYFUNCTION("IMPORTRANGE(""https://docs.google.com/spreadsheets/d/1MeEWN-I1oV_STSDYn1IFDPWt_1FKiwhDph83XaGc0o0/edit?usp=sharing"",""งบพรบ!EU86"")"),0)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4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61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3"/>
      <c r="B338" s="32"/>
      <c r="C338" s="280"/>
      <c r="D338" s="447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IFERROR(__xludf.DUMMYFUNCTION("IMPORTRANGE(""https://docs.google.com/spreadsheets/d/1QqKyyYR6Q21VydFLVH3TRQUabQu_ym0Zz7PgGX0-kHA/edit?usp=sharing"",""แผน!EG86"")"),1300)</f>
        <v>1300</v>
      </c>
      <c r="J338" s="269">
        <f ca="1">IFERROR(__xludf.DUMMYFUNCTION("IMPORTRANGE(""https://docs.google.com/spreadsheets/d/1kVcqe37tkHyjCSG3S0O1AXqVkqjo8mSIZil3BcpIysc/edit?usp=sharing"",""ศูนย์!D86"")"),3070)</f>
        <v>3070</v>
      </c>
      <c r="K338" s="497">
        <f ca="1">IF(I338&gt;0,J338*100/I338,0)</f>
        <v>236.15384615384616</v>
      </c>
      <c r="L338" s="497"/>
      <c r="M338" s="497"/>
      <c r="N338" s="497"/>
      <c r="O338" s="497"/>
      <c r="P338" s="497"/>
    </row>
    <row r="339" spans="1:26" ht="18.75">
      <c r="A339" s="283"/>
      <c r="B339" s="32"/>
      <c r="C339" s="280"/>
      <c r="D339" s="447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3"/>
      <c r="B340" s="32"/>
      <c r="C340" s="280"/>
      <c r="D340" s="177"/>
      <c r="E340" s="447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IFERROR(__xludf.DUMMYFUNCTION("IMPORTRANGE(""https://docs.google.com/spreadsheets/d/1QqKyyYR6Q21VydFLVH3TRQUabQu_ym0Zz7PgGX0-kHA/edit?usp=sharing"",""แผน!EH86"")"),5)</f>
        <v>5</v>
      </c>
      <c r="J340" s="269">
        <f ca="1">IFERROR(__xludf.DUMMYFUNCTION("IMPORTRANGE(""https://docs.google.com/spreadsheets/d/1kVcqe37tkHyjCSG3S0O1AXqVkqjo8mSIZil3BcpIysc/edit?usp=sharing"",""ศูนย์!E86"")"),5)</f>
        <v>5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3"/>
      <c r="B341" s="32"/>
      <c r="C341" s="280"/>
      <c r="D341" s="177"/>
      <c r="E341" s="447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IFERROR(__xludf.DUMMYFUNCTION("IMPORTRANGE(""https://docs.google.com/spreadsheets/d/1kVcqe37tkHyjCSG3S0O1AXqVkqjo8mSIZil3BcpIysc/edit?usp=sharing"",""ศูนย์!F86"")"),245)</f>
        <v>245</v>
      </c>
      <c r="K341" s="497"/>
      <c r="L341" s="497"/>
      <c r="M341" s="497"/>
      <c r="N341" s="497"/>
      <c r="O341" s="497"/>
      <c r="P341" s="497"/>
    </row>
    <row r="342" spans="1:26" ht="18.75">
      <c r="A342" s="283"/>
      <c r="B342" s="32"/>
      <c r="C342" s="280"/>
      <c r="D342" s="447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IFERROR(__xludf.DUMMYFUNCTION("IMPORTRANGE(""https://docs.google.com/spreadsheets/d/1kVcqe37tkHyjCSG3S0O1AXqVkqjo8mSIZil3BcpIysc/edit?usp=sharing"",""ศูนย์!G86"")"),2)</f>
        <v>2</v>
      </c>
      <c r="K342" s="497"/>
      <c r="L342" s="497"/>
      <c r="M342" s="497"/>
      <c r="N342" s="497"/>
      <c r="O342" s="497"/>
      <c r="P342" s="497"/>
    </row>
    <row r="343" spans="1:26" ht="18.75">
      <c r="A343" s="283"/>
      <c r="B343" s="32"/>
      <c r="C343" s="280"/>
      <c r="D343" s="447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IFERROR(__xludf.DUMMYFUNCTION("IMPORTRANGE(""https://docs.google.com/spreadsheets/d/1kVcqe37tkHyjCSG3S0O1AXqVkqjo8mSIZil3BcpIysc/edit?usp=sharing"",""ศูนย์!H86"")"),32)</f>
        <v>32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6"/>
      <c r="B345" s="147"/>
      <c r="C345" s="148" t="s">
        <v>16</v>
      </c>
      <c r="D345" s="846" t="s">
        <v>17</v>
      </c>
      <c r="E345" s="147"/>
      <c r="F345" s="147"/>
      <c r="G345" s="150"/>
      <c r="H345" s="151" t="s">
        <v>12</v>
      </c>
      <c r="I345" s="420"/>
      <c r="J345" s="420"/>
      <c r="K345" s="153"/>
      <c r="L345" s="154">
        <f ca="1">L346+L347</f>
        <v>738610</v>
      </c>
      <c r="M345" s="154">
        <f ca="1">M346+M347</f>
        <v>884910</v>
      </c>
      <c r="N345" s="154">
        <f ca="1">N346+N347</f>
        <v>884910</v>
      </c>
      <c r="O345" s="154">
        <f t="shared" ref="O345:O353" ca="1" si="59">IF(L345&gt;0,N345*100/L345,0)</f>
        <v>119.80747620530455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6"/>
      <c r="J346" s="616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6"/>
      <c r="J347" s="616"/>
      <c r="K347" s="92"/>
      <c r="L347" s="92">
        <f t="shared" ca="1" si="61"/>
        <v>738610</v>
      </c>
      <c r="M347" s="92">
        <f t="shared" ca="1" si="61"/>
        <v>884910</v>
      </c>
      <c r="N347" s="92">
        <f t="shared" ca="1" si="61"/>
        <v>884910</v>
      </c>
      <c r="O347" s="92">
        <f t="shared" ca="1" si="59"/>
        <v>119.80747620530455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700810</v>
      </c>
      <c r="M348" s="497">
        <f ca="1">M349+M350</f>
        <v>804710</v>
      </c>
      <c r="N348" s="497">
        <f ca="1">N349+N350</f>
        <v>804710</v>
      </c>
      <c r="O348" s="497">
        <f t="shared" ca="1" si="59"/>
        <v>114.82570168804669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IFERROR(__xludf.DUMMYFUNCTION("IMPORTRANGE(""https://docs.google.com/spreadsheets/d/1MeEWN-I1oV_STSDYn1IFDPWt_1FKiwhDph83XaGc0o0/edit?usp=sharing"",""งบพรบ!EW86"")"),700810)</f>
        <v>700810</v>
      </c>
      <c r="M350" s="92">
        <f ca="1">IFERROR(__xludf.DUMMYFUNCTION("IMPORTRANGE(""https://docs.google.com/spreadsheets/d/1MeEWN-I1oV_STSDYn1IFDPWt_1FKiwhDph83XaGc0o0/edit?usp=sharing"",""งบพรบ!FB86"")"),804710)</f>
        <v>804710</v>
      </c>
      <c r="N350" s="92">
        <f ca="1">IFERROR(__xludf.DUMMYFUNCTION("IMPORTRANGE(""https://docs.google.com/spreadsheets/d/1MeEWN-I1oV_STSDYn1IFDPWt_1FKiwhDph83XaGc0o0/edit?usp=sharing"",""งบพรบ!FD86"")"),804710)</f>
        <v>804710</v>
      </c>
      <c r="O350" s="92">
        <f t="shared" ca="1" si="59"/>
        <v>114.82570168804669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37800</v>
      </c>
      <c r="M351" s="497">
        <f ca="1">M352+M353</f>
        <v>80200</v>
      </c>
      <c r="N351" s="497">
        <f ca="1">N352+N353</f>
        <v>80200</v>
      </c>
      <c r="O351" s="497">
        <f t="shared" ca="1" si="59"/>
        <v>212.16931216931218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IFERROR(__xludf.DUMMYFUNCTION("IMPORTRANGE(""https://docs.google.com/spreadsheets/d/1MeEWN-I1oV_STSDYn1IFDPWt_1FKiwhDph83XaGc0o0/edit?usp=sharing"",""งบพรบ!EZ86"")"),37800)</f>
        <v>37800</v>
      </c>
      <c r="M353" s="92">
        <f ca="1">IFERROR(__xludf.DUMMYFUNCTION("IMPORTRANGE(""https://docs.google.com/spreadsheets/d/1MeEWN-I1oV_STSDYn1IFDPWt_1FKiwhDph83XaGc0o0/edit?usp=sharing"",""งบพรบ!FC86"")"),80200)</f>
        <v>80200</v>
      </c>
      <c r="N353" s="92">
        <f ca="1">IFERROR(__xludf.DUMMYFUNCTION("IMPORTRANGE(""https://docs.google.com/spreadsheets/d/1MeEWN-I1oV_STSDYn1IFDPWt_1FKiwhDph83XaGc0o0/edit?usp=sharing"",""งบพรบ!FE86"")"),80200)</f>
        <v>80200</v>
      </c>
      <c r="O353" s="92">
        <f t="shared" ca="1" si="59"/>
        <v>212.16931216931218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1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IFERROR(__xludf.DUMMYFUNCTION("IMPORTRANGE(""https://docs.google.com/spreadsheets/d/1QqKyyYR6Q21VydFLVH3TRQUabQu_ym0Zz7PgGX0-kHA/edit?usp=sharing"",""แผน!EP86"")"),140)</f>
        <v>140</v>
      </c>
      <c r="J355" s="464">
        <f ca="1">J362</f>
        <v>157</v>
      </c>
      <c r="K355" s="465">
        <f ca="1">IF(I355&gt;0,J355*100/I355,0)</f>
        <v>112.14285714285714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47" t="s">
        <v>38</v>
      </c>
      <c r="E357" s="172"/>
      <c r="F357" s="172"/>
      <c r="G357" s="173"/>
      <c r="H357" s="761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IFERROR(__xludf.DUMMYFUNCTION("IMPORTRANGE(""https://docs.google.com/spreadsheets/d/1XWAQStnk-4SwqDmLtmXYiTMKHgktTP8We1SCoS47DrQ/edit?usp=sharing"",""จัดที่ดิน!W86"")"),209)</f>
        <v>209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IFERROR(__xludf.DUMMYFUNCTION("IMPORTRANGE(""https://docs.google.com/spreadsheets/d/1QqKyyYR6Q21VydFLVH3TRQUabQu_ym0Zz7PgGX0-kHA/edit?usp=sharing"",""แผน!EO86"")"),1400)</f>
        <v>1400</v>
      </c>
      <c r="J359" s="269">
        <f ca="1">IFERROR(__xludf.DUMMYFUNCTION("IMPORTRANGE(""https://docs.google.com/spreadsheets/d/1XWAQStnk-4SwqDmLtmXYiTMKHgktTP8We1SCoS47DrQ/edit?usp=sharing"",""จัดที่ดิน!X86"")"),1540.1)</f>
        <v>1540.1</v>
      </c>
      <c r="K359" s="497">
        <f t="shared" ca="1" si="62"/>
        <v>110.00714285714285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63" t="s">
        <v>35</v>
      </c>
      <c r="I360" s="269">
        <f ca="1">IFERROR(__xludf.DUMMYFUNCTION("IMPORTRANGE(""https://docs.google.com/spreadsheets/d/1QqKyyYR6Q21VydFLVH3TRQUabQu_ym0Zz7PgGX0-kHA/edit?usp=sharing"",""แผน!EP86"")"),140)</f>
        <v>140</v>
      </c>
      <c r="J360" s="269">
        <f ca="1">IFERROR(__xludf.DUMMYFUNCTION("IMPORTRANGE(""https://docs.google.com/spreadsheets/d/1XWAQStnk-4SwqDmLtmXYiTMKHgktTP8We1SCoS47DrQ/edit?usp=sharing"",""จัดที่ดิน!Y86"")"),184)</f>
        <v>184</v>
      </c>
      <c r="K360" s="497">
        <f t="shared" ca="1" si="62"/>
        <v>131.42857142857142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63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IFERROR(__xludf.DUMMYFUNCTION("IMPORTRANGE(""https://docs.google.com/spreadsheets/d/1XWAQStnk-4SwqDmLtmXYiTMKHgktTP8We1SCoS47DrQ/edit?usp=sharing"",""จัดที่ดิน!Z86"")"),1440.18)</f>
        <v>1440.18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63" t="s">
        <v>35</v>
      </c>
      <c r="I362" s="269">
        <f ca="1">IFERROR(__xludf.DUMMYFUNCTION("IMPORTRANGE(""https://docs.google.com/spreadsheets/d/1QqKyyYR6Q21VydFLVH3TRQUabQu_ym0Zz7PgGX0-kHA/edit?usp=sharing"",""แผน!EP86"")"),140)</f>
        <v>140</v>
      </c>
      <c r="J362" s="269">
        <f ca="1">IFERROR(__xludf.DUMMYFUNCTION("IMPORTRANGE(""https://docs.google.com/spreadsheets/d/1XWAQStnk-4SwqDmLtmXYiTMKHgktTP8We1SCoS47DrQ/edit?usp=sharing"",""จัดที่ดิน!AA86"")"),157)</f>
        <v>157</v>
      </c>
      <c r="K362" s="497">
        <f t="shared" ca="1" si="62"/>
        <v>112.14285714285714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7"/>
      <c r="F363" s="177"/>
      <c r="G363" s="178"/>
      <c r="H363" s="763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IFERROR(__xludf.DUMMYFUNCTION("IMPORTRANGE(""https://docs.google.com/spreadsheets/d/1XWAQStnk-4SwqDmLtmXYiTMKHgktTP8We1SCoS47DrQ/edit?usp=sharing"",""จัดที่ดิน!AB86"")"),1243.11)</f>
        <v>1243.1099999999999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290</v>
      </c>
      <c r="J364" s="478">
        <f ca="1">J365+J374</f>
        <v>440</v>
      </c>
      <c r="K364" s="479">
        <f t="shared" ca="1" si="62"/>
        <v>151.72413793103448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IFERROR(__xludf.DUMMYFUNCTION("IMPORTRANGE(""https://docs.google.com/spreadsheets/d/1QqKyyYR6Q21VydFLVH3TRQUabQu_ym0Zz7PgGX0-kHA/edit?usp=sharing"",""แผน!EJ86"")"),40)</f>
        <v>40</v>
      </c>
      <c r="J365" s="490">
        <f ca="1">J372</f>
        <v>47</v>
      </c>
      <c r="K365" s="491">
        <f t="shared" ca="1" si="62"/>
        <v>117.5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47" t="s">
        <v>38</v>
      </c>
      <c r="E367" s="172"/>
      <c r="F367" s="172"/>
      <c r="G367" s="173"/>
      <c r="H367" s="761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IFERROR(__xludf.DUMMYFUNCTION("IMPORTRANGE(""https://docs.google.com/spreadsheets/d/1XWAQStnk-4SwqDmLtmXYiTMKHgktTP8We1SCoS47DrQ/edit?usp=sharing"",""จัดที่ดิน!E86"")"),63)</f>
        <v>63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IFERROR(__xludf.DUMMYFUNCTION("IMPORTRANGE(""https://docs.google.com/spreadsheets/d/1QqKyyYR6Q21VydFLVH3TRQUabQu_ym0Zz7PgGX0-kHA/edit?usp=sharing"",""แผน!EI86"")"),400)</f>
        <v>400</v>
      </c>
      <c r="J369" s="269">
        <f ca="1">IFERROR(__xludf.DUMMYFUNCTION("IMPORTRANGE(""https://docs.google.com/spreadsheets/d/1XWAQStnk-4SwqDmLtmXYiTMKHgktTP8We1SCoS47DrQ/edit?usp=sharing"",""จัดที่ดิน!F86"")"),454.33)</f>
        <v>454.33</v>
      </c>
      <c r="K369" s="497">
        <f t="shared" ca="1" si="63"/>
        <v>113.5825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63" t="s">
        <v>35</v>
      </c>
      <c r="I370" s="269">
        <f ca="1">IFERROR(__xludf.DUMMYFUNCTION("IMPORTRANGE(""https://docs.google.com/spreadsheets/d/1QqKyyYR6Q21VydFLVH3TRQUabQu_ym0Zz7PgGX0-kHA/edit?usp=sharing"",""แผน!EJ86"")"),40)</f>
        <v>40</v>
      </c>
      <c r="J370" s="269">
        <f ca="1">IFERROR(__xludf.DUMMYFUNCTION("IMPORTRANGE(""https://docs.google.com/spreadsheets/d/1XWAQStnk-4SwqDmLtmXYiTMKHgktTP8We1SCoS47DrQ/edit?usp=sharing"",""จัดที่ดิน!G86"")"),66)</f>
        <v>66</v>
      </c>
      <c r="K370" s="497">
        <f t="shared" ca="1" si="63"/>
        <v>165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63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IFERROR(__xludf.DUMMYFUNCTION("IMPORTRANGE(""https://docs.google.com/spreadsheets/d/1XWAQStnk-4SwqDmLtmXYiTMKHgktTP8We1SCoS47DrQ/edit?usp=sharing"",""จัดที่ดิน!H86"")"),463.16)</f>
        <v>463.16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63" t="s">
        <v>35</v>
      </c>
      <c r="I372" s="269">
        <f ca="1">IFERROR(__xludf.DUMMYFUNCTION("IMPORTRANGE(""https://docs.google.com/spreadsheets/d/1QqKyyYR6Q21VydFLVH3TRQUabQu_ym0Zz7PgGX0-kHA/edit?usp=sharing"",""แผน!EJ86"")"),40)</f>
        <v>40</v>
      </c>
      <c r="J372" s="269">
        <f ca="1">IFERROR(__xludf.DUMMYFUNCTION("IMPORTRANGE(""https://docs.google.com/spreadsheets/d/1XWAQStnk-4SwqDmLtmXYiTMKHgktTP8We1SCoS47DrQ/edit?usp=sharing"",""จัดที่ดิน!I86"")"),47)</f>
        <v>47</v>
      </c>
      <c r="K372" s="497">
        <f t="shared" ca="1" si="63"/>
        <v>117.5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7"/>
      <c r="C373" s="170"/>
      <c r="D373" s="177"/>
      <c r="E373" s="447"/>
      <c r="F373" s="177"/>
      <c r="G373" s="178"/>
      <c r="H373" s="763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IFERROR(__xludf.DUMMYFUNCTION("IMPORTRANGE(""https://docs.google.com/spreadsheets/d/1XWAQStnk-4SwqDmLtmXYiTMKHgktTP8We1SCoS47DrQ/edit?usp=sharing"",""จัดที่ดิน!J86"")"),329.81)</f>
        <v>329.81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IFERROR(__xludf.DUMMYFUNCTION("IMPORTRANGE(""https://docs.google.com/spreadsheets/d/1QqKyyYR6Q21VydFLVH3TRQUabQu_ym0Zz7PgGX0-kHA/edit?usp=sharing"",""แผน!EU86"")"),250)</f>
        <v>250</v>
      </c>
      <c r="J374" s="490">
        <f ca="1">J381</f>
        <v>393</v>
      </c>
      <c r="K374" s="491">
        <f t="shared" ca="1" si="63"/>
        <v>157.19999999999999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47" t="s">
        <v>38</v>
      </c>
      <c r="E376" s="172"/>
      <c r="F376" s="172"/>
      <c r="G376" s="173"/>
      <c r="H376" s="761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IFERROR(__xludf.DUMMYFUNCTION("IMPORTRANGE(""https://docs.google.com/spreadsheets/d/1XWAQStnk-4SwqDmLtmXYiTMKHgktTP8We1SCoS47DrQ/edit?usp=sharing"",""จัดที่ดิน!AH86"")"),146)</f>
        <v>146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IFERROR(__xludf.DUMMYFUNCTION("IMPORTRANGE(""https://docs.google.com/spreadsheets/d/1QqKyyYR6Q21VydFLVH3TRQUabQu_ym0Zz7PgGX0-kHA/edit?usp=sharing"",""แผน!ET86"")"),1000)</f>
        <v>1000</v>
      </c>
      <c r="J378" s="269">
        <f ca="1">IFERROR(__xludf.DUMMYFUNCTION("IMPORTRANGE(""https://docs.google.com/spreadsheets/d/1XWAQStnk-4SwqDmLtmXYiTMKHgktTP8We1SCoS47DrQ/edit?usp=sharing"",""จัดที่ดิน!AI86"")"),1085.77)</f>
        <v>1085.77</v>
      </c>
      <c r="K378" s="497">
        <f t="shared" ca="1" si="64"/>
        <v>108.577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63" t="s">
        <v>35</v>
      </c>
      <c r="I379" s="269">
        <f ca="1">IFERROR(__xludf.DUMMYFUNCTION("IMPORTRANGE(""https://docs.google.com/spreadsheets/d/1QqKyyYR6Q21VydFLVH3TRQUabQu_ym0Zz7PgGX0-kHA/edit?usp=sharing"",""แผน!EU86"")"),250)</f>
        <v>250</v>
      </c>
      <c r="J379" s="269">
        <f ca="1">IFERROR(__xludf.DUMMYFUNCTION("IMPORTRANGE(""https://docs.google.com/spreadsheets/d/1XWAQStnk-4SwqDmLtmXYiTMKHgktTP8We1SCoS47DrQ/edit?usp=sharing"",""จัดที่ดิน!AJ86"")"),401)</f>
        <v>401</v>
      </c>
      <c r="K379" s="497">
        <f t="shared" ca="1" si="64"/>
        <v>160.4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63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IFERROR(__xludf.DUMMYFUNCTION("IMPORTRANGE(""https://docs.google.com/spreadsheets/d/1XWAQStnk-4SwqDmLtmXYiTMKHgktTP8We1SCoS47DrQ/edit?usp=sharing"",""จัดที่ดิน!AK86"")"),4375.53)</f>
        <v>4375.53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63" t="s">
        <v>35</v>
      </c>
      <c r="I381" s="269">
        <f ca="1">IFERROR(__xludf.DUMMYFUNCTION("IMPORTRANGE(""https://docs.google.com/spreadsheets/d/1QqKyyYR6Q21VydFLVH3TRQUabQu_ym0Zz7PgGX0-kHA/edit?usp=sharing"",""แผน!EU86"")"),250)</f>
        <v>250</v>
      </c>
      <c r="J381" s="269">
        <f ca="1">IFERROR(__xludf.DUMMYFUNCTION("IMPORTRANGE(""https://docs.google.com/spreadsheets/d/1XWAQStnk-4SwqDmLtmXYiTMKHgktTP8We1SCoS47DrQ/edit?usp=sharing"",""จัดที่ดิน!AL86"")"),393)</f>
        <v>393</v>
      </c>
      <c r="K381" s="497">
        <f t="shared" ca="1" si="64"/>
        <v>157.19999999999999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7"/>
      <c r="C382" s="170"/>
      <c r="D382" s="177"/>
      <c r="E382" s="447"/>
      <c r="F382" s="177"/>
      <c r="G382" s="178"/>
      <c r="H382" s="763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IFERROR(__xludf.DUMMYFUNCTION("IMPORTRANGE(""https://docs.google.com/spreadsheets/d/1XWAQStnk-4SwqDmLtmXYiTMKHgktTP8We1SCoS47DrQ/edit?usp=sharing"",""จัดที่ดิน!AM86"")"),4306.13)</f>
        <v>4306.13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498"/>
      <c r="B383" s="499"/>
      <c r="C383" s="290"/>
      <c r="D383" s="849" t="s">
        <v>169</v>
      </c>
      <c r="E383" s="290"/>
      <c r="F383" s="290"/>
      <c r="G383" s="501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4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761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503" t="s">
        <v>170</v>
      </c>
      <c r="F385" s="380"/>
      <c r="G385" s="381"/>
      <c r="H385" s="504" t="s">
        <v>35</v>
      </c>
      <c r="I385" s="505">
        <f ca="1">IFERROR(__xludf.DUMMYFUNCTION("IMPORTRANGE(""https://docs.google.com/spreadsheets/d/1QqKyyYR6Q21VydFLVH3TRQUabQu_ym0Zz7PgGX0-kHA/edit?usp=sharing"",""แผน!EW86"")"),20)</f>
        <v>20</v>
      </c>
      <c r="J385" s="505">
        <f ca="1">IFERROR(__xludf.DUMMYFUNCTION("IMPORTRANGE(""https://docs.google.com/spreadsheets/d/1XWAQStnk-4SwqDmLtmXYiTMKHgktTP8We1SCoS47DrQ/edit?usp=sharing"",""จัดที่ดิน!AP86"")"),13)</f>
        <v>13</v>
      </c>
      <c r="K385" s="506">
        <f ca="1">IF(I385&gt;0,J385*100/I385,0)</f>
        <v>65</v>
      </c>
      <c r="L385" s="384"/>
      <c r="M385" s="384"/>
      <c r="N385" s="384"/>
      <c r="O385" s="384"/>
      <c r="P385" s="384"/>
    </row>
    <row r="386" spans="1:26" ht="19.5" hidden="1">
      <c r="A386" s="507" t="s">
        <v>171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172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173</v>
      </c>
      <c r="C388" s="522"/>
      <c r="D388" s="523"/>
      <c r="E388" s="523"/>
      <c r="F388" s="523"/>
      <c r="G388" s="524"/>
      <c r="H388" s="525" t="s">
        <v>66</v>
      </c>
      <c r="I388" s="526">
        <f>I400</f>
        <v>0</v>
      </c>
      <c r="J388" s="526">
        <f>J400</f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6"/>
      <c r="B389" s="147"/>
      <c r="C389" s="148" t="s">
        <v>16</v>
      </c>
      <c r="D389" s="846" t="s">
        <v>17</v>
      </c>
      <c r="E389" s="147"/>
      <c r="F389" s="147"/>
      <c r="G389" s="150"/>
      <c r="H389" s="151" t="s">
        <v>12</v>
      </c>
      <c r="I389" s="420"/>
      <c r="J389" s="420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6"/>
      <c r="J390" s="616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6"/>
      <c r="J391" s="616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IFERROR(__xludf.DUMMYFUNCTION("IMPORTRANGE(""https://docs.google.com/spreadsheets/d/1MeEWN-I1oV_STSDYn1IFDPWt_1FKiwhDph83XaGc0o0/edit?usp=sharing"",""งบพรบ!FG86"")"),0)</f>
        <v>0</v>
      </c>
      <c r="M394" s="92">
        <f ca="1">IFERROR(__xludf.DUMMYFUNCTION("IMPORTRANGE(""https://docs.google.com/spreadsheets/d/1MeEWN-I1oV_STSDYn1IFDPWt_1FKiwhDph83XaGc0o0/edit?usp=sharing"",""งบพรบ!FL86"")"),0)</f>
        <v>0</v>
      </c>
      <c r="N394" s="92">
        <f ca="1">IFERROR(__xludf.DUMMYFUNCTION("IMPORTRANGE(""https://docs.google.com/spreadsheets/d/1MeEWN-I1oV_STSDYn1IFDPWt_1FKiwhDph83XaGc0o0/edit?usp=sharing"",""งบพรบ!FN86"")"),0)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IFERROR(__xludf.DUMMYFUNCTION("IMPORTRANGE(""https://docs.google.com/spreadsheets/d/1MeEWN-I1oV_STSDYn1IFDPWt_1FKiwhDph83XaGc0o0/edit?usp=sharing"",""งบพรบ!FJ86"")"),0)</f>
        <v>0</v>
      </c>
      <c r="M397" s="92">
        <f ca="1">IFERROR(__xludf.DUMMYFUNCTION("IMPORTRANGE(""https://docs.google.com/spreadsheets/d/1MeEWN-I1oV_STSDYn1IFDPWt_1FKiwhDph83XaGc0o0/edit?usp=sharing"",""งบพรบ!FM86"")"),0)</f>
        <v>0</v>
      </c>
      <c r="N397" s="92">
        <f ca="1">IFERROR(__xludf.DUMMYFUNCTION("IMPORTRANGE(""https://docs.google.com/spreadsheets/d/1MeEWN-I1oV_STSDYn1IFDPWt_1FKiwhDph83XaGc0o0/edit?usp=sharing"",""งบพรบ!FO86"")"),0)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47" t="s">
        <v>38</v>
      </c>
      <c r="E398" s="172"/>
      <c r="F398" s="172"/>
      <c r="G398" s="173"/>
      <c r="H398" s="761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9"/>
      <c r="B399" s="147"/>
      <c r="C399" s="530"/>
      <c r="D399" s="531" t="s">
        <v>174</v>
      </c>
      <c r="E399" s="415"/>
      <c r="F399" s="147"/>
      <c r="G399" s="150"/>
      <c r="H399" s="532" t="s">
        <v>9</v>
      </c>
      <c r="I399" s="269">
        <v>0</v>
      </c>
      <c r="J399" s="214">
        <v>0</v>
      </c>
      <c r="K399" s="497">
        <f>IF(I399&gt;0,J399*100/I399,0)</f>
        <v>0</v>
      </c>
      <c r="L399" s="533"/>
      <c r="M399" s="533"/>
      <c r="N399" s="533"/>
      <c r="O399" s="533"/>
      <c r="P399" s="533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3"/>
      <c r="B400" s="32"/>
      <c r="C400" s="280"/>
      <c r="D400" s="447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20"/>
      <c r="B401" s="521" t="s">
        <v>176</v>
      </c>
      <c r="C401" s="522"/>
      <c r="D401" s="523"/>
      <c r="E401" s="523"/>
      <c r="F401" s="523"/>
      <c r="G401" s="524"/>
      <c r="H401" s="525" t="s">
        <v>66</v>
      </c>
      <c r="I401" s="526">
        <f>I412</f>
        <v>0</v>
      </c>
      <c r="J401" s="526">
        <f>J412</f>
        <v>0</v>
      </c>
      <c r="K401" s="527">
        <f>IF(I401&gt;0,J401*100/I401,0)</f>
        <v>0</v>
      </c>
      <c r="L401" s="528"/>
      <c r="M401" s="528"/>
      <c r="N401" s="528"/>
      <c r="O401" s="528"/>
      <c r="P401" s="528"/>
    </row>
    <row r="402" spans="1:26" ht="19.5" hidden="1">
      <c r="A402" s="146"/>
      <c r="B402" s="147"/>
      <c r="C402" s="148" t="s">
        <v>16</v>
      </c>
      <c r="D402" s="846" t="s">
        <v>17</v>
      </c>
      <c r="E402" s="147"/>
      <c r="F402" s="147"/>
      <c r="G402" s="150"/>
      <c r="H402" s="151" t="s">
        <v>12</v>
      </c>
      <c r="I402" s="420"/>
      <c r="J402" s="420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6"/>
      <c r="J403" s="616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6"/>
      <c r="J404" s="616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IFERROR(__xludf.DUMMYFUNCTION("IMPORTRANGE(""https://docs.google.com/spreadsheets/d/1MeEWN-I1oV_STSDYn1IFDPWt_1FKiwhDph83XaGc0o0/edit?usp=sharing"",""งบพรบ!FQ86"")"),0)</f>
        <v>0</v>
      </c>
      <c r="M407" s="92">
        <f ca="1">IFERROR(__xludf.DUMMYFUNCTION("IMPORTRANGE(""https://docs.google.com/spreadsheets/d/1MeEWN-I1oV_STSDYn1IFDPWt_1FKiwhDph83XaGc0o0/edit?usp=sharing"",""งบพรบ!FV86"")"),0)</f>
        <v>0</v>
      </c>
      <c r="N407" s="92">
        <f ca="1">IFERROR(__xludf.DUMMYFUNCTION("IMPORTRANGE(""https://docs.google.com/spreadsheets/d/1MeEWN-I1oV_STSDYn1IFDPWt_1FKiwhDph83XaGc0o0/edit?usp=sharing"",""งบพรบ!FX86"")"),0)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IFERROR(__xludf.DUMMYFUNCTION("IMPORTRANGE(""https://docs.google.com/spreadsheets/d/1MeEWN-I1oV_STSDYn1IFDPWt_1FKiwhDph83XaGc0o0/edit?usp=sharing"",""งบพรบ!FT86"")"),0)</f>
        <v>0</v>
      </c>
      <c r="M410" s="92">
        <f ca="1">IFERROR(__xludf.DUMMYFUNCTION("IMPORTRANGE(""https://docs.google.com/spreadsheets/d/1MeEWN-I1oV_STSDYn1IFDPWt_1FKiwhDph83XaGc0o0/edit?usp=sharing"",""งบพรบ!FW86"")"),0)</f>
        <v>0</v>
      </c>
      <c r="N410" s="92">
        <f ca="1">IFERROR(__xludf.DUMMYFUNCTION("IMPORTRANGE(""https://docs.google.com/spreadsheets/d/1MeEWN-I1oV_STSDYn1IFDPWt_1FKiwhDph83XaGc0o0/edit?usp=sharing"",""งบพรบ!FY86"")"),0)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45" t="s">
        <v>38</v>
      </c>
      <c r="E411" s="535"/>
      <c r="F411" s="535"/>
      <c r="G411" s="536"/>
      <c r="H411" s="761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7" t="s">
        <v>177</v>
      </c>
      <c r="E412" s="177"/>
      <c r="F412" s="177"/>
      <c r="G412" s="178"/>
      <c r="H412" s="537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8"/>
      <c r="B413" s="539"/>
      <c r="C413" s="539"/>
      <c r="D413" s="540" t="s">
        <v>178</v>
      </c>
      <c r="E413" s="539"/>
      <c r="F413" s="539"/>
      <c r="G413" s="541"/>
      <c r="H413" s="542" t="s">
        <v>179</v>
      </c>
      <c r="I413" s="543">
        <v>0</v>
      </c>
      <c r="J413" s="544">
        <v>0</v>
      </c>
      <c r="K413" s="545">
        <f>IF(I413&gt;0,J413*100/I413,0)</f>
        <v>0</v>
      </c>
      <c r="L413" s="546"/>
      <c r="M413" s="546"/>
      <c r="N413" s="546"/>
      <c r="O413" s="546"/>
      <c r="P413" s="546"/>
    </row>
    <row r="414" spans="1:26" ht="19.5">
      <c r="A414" s="547" t="s">
        <v>180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ca="1">L419+L444+L467+L502+L523+L544+L629+L655+L685+L737+L754+L770+L786+L805</f>
        <v>1871973</v>
      </c>
      <c r="M414" s="553">
        <f ca="1">M419+M444+M467+M502+M523+M544+M629+M655+M685+M737+M754+M770+M786+M805</f>
        <v>2373419.7000000002</v>
      </c>
      <c r="N414" s="553">
        <f>N419+N444+N467+N502+N523+N544+N629+N655+N685+N737+N754+N770+N786+N805</f>
        <v>2373419.7000000002</v>
      </c>
      <c r="O414" s="553">
        <f ca="1">IF(L414&gt;0,N414*100/L414,0)</f>
        <v>126.78706904426508</v>
      </c>
      <c r="P414" s="553">
        <f ca="1">IF(M414&gt;0,N414*100/M414,0)</f>
        <v>100</v>
      </c>
    </row>
    <row r="415" spans="1:26" ht="19.5">
      <c r="A415" s="554" t="s">
        <v>181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182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183</v>
      </c>
      <c r="C417" s="565"/>
      <c r="D417" s="566"/>
      <c r="E417" s="566"/>
      <c r="F417" s="566"/>
      <c r="G417" s="567"/>
      <c r="H417" s="568" t="s">
        <v>35</v>
      </c>
      <c r="I417" s="569">
        <f ca="1">I433</f>
        <v>20</v>
      </c>
      <c r="J417" s="569">
        <f ca="1">J433</f>
        <v>20</v>
      </c>
      <c r="K417" s="570">
        <f ca="1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ca="1">I434</f>
        <v>1</v>
      </c>
      <c r="J418" s="569">
        <f>J434</f>
        <v>1</v>
      </c>
      <c r="K418" s="570">
        <f ca="1">IF(I418&gt;0,J418*100/I418,0)</f>
        <v>100</v>
      </c>
      <c r="L418" s="571"/>
      <c r="M418" s="571"/>
      <c r="N418" s="571"/>
      <c r="O418" s="571"/>
      <c r="P418" s="571"/>
    </row>
    <row r="419" spans="1:26" ht="19.5">
      <c r="A419" s="146"/>
      <c r="B419" s="147"/>
      <c r="C419" s="147" t="s">
        <v>16</v>
      </c>
      <c r="D419" s="910" t="s">
        <v>17</v>
      </c>
      <c r="E419" s="890"/>
      <c r="F419" s="890"/>
      <c r="G419" s="150"/>
      <c r="H419" s="274" t="s">
        <v>12</v>
      </c>
      <c r="I419" s="420"/>
      <c r="J419" s="420"/>
      <c r="K419" s="153"/>
      <c r="L419" s="154">
        <f ca="1">L420+L421</f>
        <v>78660</v>
      </c>
      <c r="M419" s="154">
        <f ca="1">M420+M421</f>
        <v>83660</v>
      </c>
      <c r="N419" s="154">
        <f>N420+N421</f>
        <v>83660</v>
      </c>
      <c r="O419" s="154">
        <f t="shared" ref="O419:O424" ca="1" si="71">IF(L419&gt;0,N419*100/L419,0)</f>
        <v>106.35647088736333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6"/>
      <c r="J420" s="616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6"/>
      <c r="J421" s="616"/>
      <c r="K421" s="92"/>
      <c r="L421" s="92">
        <f t="shared" ca="1" si="73"/>
        <v>78660</v>
      </c>
      <c r="M421" s="92">
        <f t="shared" ca="1" si="73"/>
        <v>83660</v>
      </c>
      <c r="N421" s="92">
        <f t="shared" si="73"/>
        <v>83660</v>
      </c>
      <c r="O421" s="92">
        <f t="shared" ca="1" si="71"/>
        <v>106.35647088736333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78660</v>
      </c>
      <c r="M422" s="497">
        <f ca="1">M423+M424</f>
        <v>83660</v>
      </c>
      <c r="N422" s="497">
        <f>N423+N424</f>
        <v>83660</v>
      </c>
      <c r="O422" s="497">
        <f t="shared" ca="1" si="71"/>
        <v>106.35647088736333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6"/>
      <c r="J423" s="616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6"/>
      <c r="J424" s="616"/>
      <c r="K424" s="92"/>
      <c r="L424" s="92">
        <f ca="1">IFERROR(__xludf.DUMMYFUNCTION("IMPORTRANGE(""https://docs.google.com/spreadsheets/d/1QqKyyYR6Q21VydFLVH3TRQUabQu_ym0Zz7PgGX0-kHA/edit?usp=sharing"",""แผน!EY86"")"),78660)</f>
        <v>78660</v>
      </c>
      <c r="M424" s="92">
        <f ca="1">L424+5000</f>
        <v>83660</v>
      </c>
      <c r="N424" s="92">
        <f>N425+N426+N427+N428</f>
        <v>83660</v>
      </c>
      <c r="O424" s="92">
        <f t="shared" ca="1" si="71"/>
        <v>106.35647088736333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73"/>
      <c r="B425" s="574"/>
      <c r="C425" s="762"/>
      <c r="D425" s="762"/>
      <c r="E425" s="762"/>
      <c r="F425" s="762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826">
        <v>53400</v>
      </c>
      <c r="O425" s="497"/>
      <c r="P425" s="497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826">
        <v>0</v>
      </c>
      <c r="O426" s="497"/>
      <c r="P426" s="497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826">
        <v>0</v>
      </c>
      <c r="O427" s="497"/>
      <c r="P427" s="497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3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826">
        <v>30260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IFERROR(__xludf.DUMMYFUNCTION("IMPORTRANGE(""https://docs.google.com/spreadsheets/d/1QqKyyYR6Q21VydFLVH3TRQUabQu_ym0Zz7PgGX0-kHA/edit?usp=sharing"",""แผน!FB86"")"),0)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4"/>
      <c r="B432" s="415"/>
      <c r="C432" s="147" t="s">
        <v>16</v>
      </c>
      <c r="D432" s="844" t="s">
        <v>38</v>
      </c>
      <c r="E432" s="579"/>
      <c r="F432" s="579"/>
      <c r="G432" s="580"/>
      <c r="H432" s="581"/>
      <c r="I432" s="420"/>
      <c r="J432" s="420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80">
        <f ca="1">I435</f>
        <v>20</v>
      </c>
      <c r="J433" s="680">
        <f ca="1">IF(AND(J435=I435,J437=I437,J439=I439),I437+I439,IF(AND(J435=I437,J437=I437),I437,IF(AND(J435=I439,J439=I439),I439,0)))</f>
        <v>20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80">
        <f ca="1">I438+I440</f>
        <v>1</v>
      </c>
      <c r="J434" s="680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7" t="s">
        <v>192</v>
      </c>
      <c r="E435" s="177"/>
      <c r="F435" s="177"/>
      <c r="G435" s="178"/>
      <c r="H435" s="622" t="s">
        <v>35</v>
      </c>
      <c r="I435" s="582">
        <f ca="1">IFERROR(__xludf.DUMMYFUNCTION("IMPORTRANGE(""https://docs.google.com/spreadsheets/d/1QqKyyYR6Q21VydFLVH3TRQUabQu_ym0Zz7PgGX0-kHA/edit?usp=sharing"",""แผน!FC86"")"),20)</f>
        <v>20</v>
      </c>
      <c r="J435" s="583">
        <v>20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7" t="s">
        <v>193</v>
      </c>
      <c r="E436" s="177"/>
      <c r="F436" s="177"/>
      <c r="G436" s="178"/>
      <c r="H436" s="622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7" t="s">
        <v>194</v>
      </c>
      <c r="E437" s="177"/>
      <c r="F437" s="177"/>
      <c r="G437" s="178"/>
      <c r="H437" s="622" t="s">
        <v>35</v>
      </c>
      <c r="I437" s="582">
        <f ca="1">IFERROR(__xludf.DUMMYFUNCTION("IMPORTRANGE(""https://docs.google.com/spreadsheets/d/1QqKyyYR6Q21VydFLVH3TRQUabQu_ym0Zz7PgGX0-kHA/edit?usp=sharing"",""แผน!FD86"")"),0)</f>
        <v>0</v>
      </c>
      <c r="J437" s="583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7" t="s">
        <v>195</v>
      </c>
      <c r="E438" s="177"/>
      <c r="F438" s="177"/>
      <c r="G438" s="178"/>
      <c r="H438" s="622" t="s">
        <v>49</v>
      </c>
      <c r="I438" s="269">
        <f ca="1">IFERROR(__xludf.DUMMYFUNCTION("IMPORTRANGE(""https://docs.google.com/spreadsheets/d/1QqKyyYR6Q21VydFLVH3TRQUabQu_ym0Zz7PgGX0-kHA/edit?usp=sharing"",""แผน!FE86"")"),0)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7" t="s">
        <v>196</v>
      </c>
      <c r="E439" s="177"/>
      <c r="F439" s="177"/>
      <c r="G439" s="178"/>
      <c r="H439" s="622" t="s">
        <v>35</v>
      </c>
      <c r="I439" s="582">
        <f ca="1">IFERROR(__xludf.DUMMYFUNCTION("IMPORTRANGE(""https://docs.google.com/spreadsheets/d/1QqKyyYR6Q21VydFLVH3TRQUabQu_ym0Zz7PgGX0-kHA/edit?usp=sharing"",""แผน!FF86"")"),20)</f>
        <v>20</v>
      </c>
      <c r="J439" s="583">
        <v>20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7" t="s">
        <v>197</v>
      </c>
      <c r="E440" s="177"/>
      <c r="F440" s="177"/>
      <c r="G440" s="178"/>
      <c r="H440" s="622" t="s">
        <v>49</v>
      </c>
      <c r="I440" s="269">
        <f ca="1">IFERROR(__xludf.DUMMYFUNCTION("IMPORTRANGE(""https://docs.google.com/spreadsheets/d/1QqKyyYR6Q21VydFLVH3TRQUabQu_ym0Zz7PgGX0-kHA/edit?usp=sharing"",""แผน!FG86"")"),1)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7" t="s">
        <v>198</v>
      </c>
      <c r="E441" s="177"/>
      <c r="F441" s="177"/>
      <c r="G441" s="178"/>
      <c r="H441" s="622" t="s">
        <v>35</v>
      </c>
      <c r="I441" s="269">
        <f ca="1">IFERROR(__xludf.DUMMYFUNCTION("IMPORTRANGE(""https://docs.google.com/spreadsheets/d/1QqKyyYR6Q21VydFLVH3TRQUabQu_ym0Zz7PgGX0-kHA/edit?usp=sharing"",""แผน!FH86"")"),0)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84">
        <v>2</v>
      </c>
      <c r="B442" s="585" t="s">
        <v>199</v>
      </c>
      <c r="C442" s="586"/>
      <c r="D442" s="586"/>
      <c r="E442" s="586"/>
      <c r="F442" s="586"/>
      <c r="G442" s="587"/>
      <c r="H442" s="588" t="s">
        <v>35</v>
      </c>
      <c r="I442" s="589">
        <f ca="1">I460</f>
        <v>60</v>
      </c>
      <c r="J442" s="589">
        <f>J460</f>
        <v>60</v>
      </c>
      <c r="K442" s="590">
        <f t="shared" ca="1" si="7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ca="1">I462</f>
        <v>280</v>
      </c>
      <c r="J443" s="569">
        <f>J462</f>
        <v>280</v>
      </c>
      <c r="K443" s="570">
        <f t="shared" ca="1" si="7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87" t="s">
        <v>17</v>
      </c>
      <c r="E444" s="888"/>
      <c r="F444" s="888"/>
      <c r="G444" s="188"/>
      <c r="H444" s="597" t="s">
        <v>12</v>
      </c>
      <c r="I444" s="269"/>
      <c r="J444" s="269"/>
      <c r="K444" s="497"/>
      <c r="L444" s="194">
        <f ca="1">L445+L446</f>
        <v>555600</v>
      </c>
      <c r="M444" s="194">
        <f ca="1">M445+M446</f>
        <v>554979</v>
      </c>
      <c r="N444" s="194">
        <f>N445+N446</f>
        <v>554979</v>
      </c>
      <c r="O444" s="194">
        <f t="shared" ref="O444:O449" ca="1" si="75">IF(L444&gt;0,N444*100/L444,0)</f>
        <v>99.888228941684659</v>
      </c>
      <c r="P444" s="194">
        <f t="shared" ref="P444:P449" ca="1" si="76">IF(M444&gt;0,N444*100/M444,0)</f>
        <v>100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184</v>
      </c>
      <c r="F445" s="758"/>
      <c r="G445" s="602"/>
      <c r="H445" s="164" t="s">
        <v>12</v>
      </c>
      <c r="I445" s="616"/>
      <c r="J445" s="616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185</v>
      </c>
      <c r="F446" s="758"/>
      <c r="G446" s="602"/>
      <c r="H446" s="164" t="s">
        <v>12</v>
      </c>
      <c r="I446" s="616"/>
      <c r="J446" s="616"/>
      <c r="K446" s="92"/>
      <c r="L446" s="92">
        <f t="shared" ca="1" si="77"/>
        <v>555600</v>
      </c>
      <c r="M446" s="92">
        <f t="shared" ca="1" si="77"/>
        <v>554979</v>
      </c>
      <c r="N446" s="92">
        <f t="shared" si="77"/>
        <v>554979</v>
      </c>
      <c r="O446" s="92">
        <f t="shared" ca="1" si="75"/>
        <v>99.888228941684659</v>
      </c>
      <c r="P446" s="92">
        <f t="shared" ca="1" si="76"/>
        <v>100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8"/>
      <c r="H447" s="160" t="s">
        <v>12</v>
      </c>
      <c r="I447" s="183"/>
      <c r="J447" s="183"/>
      <c r="K447" s="162"/>
      <c r="L447" s="497">
        <f ca="1">L448+L449</f>
        <v>555600</v>
      </c>
      <c r="M447" s="497">
        <f ca="1">M448+M449</f>
        <v>554979</v>
      </c>
      <c r="N447" s="497">
        <f>N448+N449</f>
        <v>554979</v>
      </c>
      <c r="O447" s="497">
        <f t="shared" ca="1" si="75"/>
        <v>99.888228941684659</v>
      </c>
      <c r="P447" s="497">
        <f t="shared" ca="1" si="76"/>
        <v>100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184</v>
      </c>
      <c r="F448" s="758"/>
      <c r="G448" s="602"/>
      <c r="H448" s="164" t="s">
        <v>12</v>
      </c>
      <c r="I448" s="616"/>
      <c r="J448" s="616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185</v>
      </c>
      <c r="F449" s="758"/>
      <c r="G449" s="602"/>
      <c r="H449" s="164" t="s">
        <v>12</v>
      </c>
      <c r="I449" s="616"/>
      <c r="J449" s="616"/>
      <c r="K449" s="92"/>
      <c r="L449" s="92">
        <f ca="1">IFERROR(__xludf.DUMMYFUNCTION("IMPORTRANGE(""https://docs.google.com/spreadsheets/d/1QqKyyYR6Q21VydFLVH3TRQUabQu_ym0Zz7PgGX0-kHA/edit?usp=sharing"",""แผน!FJ86"")"),555600)</f>
        <v>555600</v>
      </c>
      <c r="M449" s="92">
        <f ca="1">L449+5000-5621</f>
        <v>554979</v>
      </c>
      <c r="N449" s="92">
        <f>N450+N451+N452+N453</f>
        <v>554979</v>
      </c>
      <c r="O449" s="92">
        <f t="shared" ca="1" si="75"/>
        <v>99.888228941684659</v>
      </c>
      <c r="P449" s="92">
        <f t="shared" ca="1" si="76"/>
        <v>100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826">
        <v>98580</v>
      </c>
      <c r="O450" s="497"/>
      <c r="P450" s="497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826">
        <v>281000</v>
      </c>
      <c r="O451" s="497"/>
      <c r="P451" s="497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826">
        <v>137379</v>
      </c>
      <c r="O452" s="497"/>
      <c r="P452" s="497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826">
        <v>38020</v>
      </c>
      <c r="O453" s="497"/>
      <c r="P453" s="497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IFERROR(__xludf.DUMMYFUNCTION("IMPORTRANGE(""https://docs.google.com/spreadsheets/d/1QqKyyYR6Q21VydFLVH3TRQUabQu_ym0Zz7PgGX0-kHA/edit?usp=sharing"",""แผน!FM86"")"),0)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40" t="s">
        <v>38</v>
      </c>
      <c r="E457" s="610"/>
      <c r="F457" s="760"/>
      <c r="G457" s="612"/>
      <c r="H457" s="761"/>
      <c r="I457" s="269"/>
      <c r="J457" s="269"/>
      <c r="K457" s="497"/>
      <c r="L457" s="497"/>
      <c r="M457" s="497"/>
      <c r="N457" s="497"/>
      <c r="O457" s="497"/>
      <c r="P457" s="497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200</v>
      </c>
      <c r="E458" s="615"/>
      <c r="F458" s="719"/>
      <c r="G458" s="365"/>
      <c r="H458" s="369" t="s">
        <v>35</v>
      </c>
      <c r="I458" s="616">
        <v>0</v>
      </c>
      <c r="J458" s="616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201</v>
      </c>
      <c r="E459" s="615"/>
      <c r="F459" s="719"/>
      <c r="G459" s="365"/>
      <c r="H459" s="369"/>
      <c r="I459" s="616"/>
      <c r="J459" s="616"/>
      <c r="K459" s="92"/>
      <c r="L459" s="92"/>
      <c r="M459" s="92"/>
      <c r="N459" s="92"/>
      <c r="O459" s="92"/>
      <c r="P459" s="92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202</v>
      </c>
      <c r="E460" s="617"/>
      <c r="F460" s="625"/>
      <c r="G460" s="761"/>
      <c r="H460" s="763" t="s">
        <v>35</v>
      </c>
      <c r="I460" s="269">
        <f ca="1">IFERROR(__xludf.DUMMYFUNCTION("IMPORTRANGE(""https://docs.google.com/spreadsheets/d/1QqKyyYR6Q21VydFLVH3TRQUabQu_ym0Zz7PgGX0-kHA/edit?usp=sharing"",""แผน!FN86"")"),60)</f>
        <v>60</v>
      </c>
      <c r="J460" s="214">
        <v>60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203</v>
      </c>
      <c r="E461" s="625"/>
      <c r="F461" s="625"/>
      <c r="G461" s="761"/>
      <c r="H461" s="763"/>
      <c r="I461" s="269"/>
      <c r="J461" s="269"/>
      <c r="K461" s="497"/>
      <c r="L461" s="497"/>
      <c r="M461" s="497"/>
      <c r="N461" s="497"/>
      <c r="O461" s="497"/>
      <c r="P461" s="497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204</v>
      </c>
      <c r="E462" s="625"/>
      <c r="F462" s="625"/>
      <c r="G462" s="761"/>
      <c r="H462" s="763" t="s">
        <v>46</v>
      </c>
      <c r="I462" s="269">
        <f ca="1">IFERROR(__xludf.DUMMYFUNCTION("IMPORTRANGE(""https://docs.google.com/spreadsheets/d/1QqKyyYR6Q21VydFLVH3TRQUabQu_ym0Zz7PgGX0-kHA/edit?usp=sharing"",""แผน!FO86"")"),280)</f>
        <v>280</v>
      </c>
      <c r="J462" s="214">
        <v>280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8"/>
      <c r="H463" s="763" t="s">
        <v>46</v>
      </c>
      <c r="I463" s="269">
        <f ca="1">IFERROR(__xludf.DUMMYFUNCTION("IMPORTRANGE(""https://docs.google.com/spreadsheets/d/1QqKyyYR6Q21VydFLVH3TRQUabQu_ym0Zz7PgGX0-kHA/edit?usp=sharing"",""แผน!FO86"")"),280)</f>
        <v>280</v>
      </c>
      <c r="J463" s="214">
        <v>280</v>
      </c>
      <c r="K463" s="497"/>
      <c r="L463" s="497"/>
      <c r="M463" s="497"/>
      <c r="N463" s="497"/>
      <c r="O463" s="497"/>
      <c r="P463" s="497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69">
        <f ca="1">IFERROR(__xludf.DUMMYFUNCTION("IMPORTRANGE(""https://docs.google.com/spreadsheets/d/1QqKyyYR6Q21VydFLVH3TRQUabQu_ym0Zz7PgGX0-kHA/edit?usp=sharing"",""แผน!FN86"")"),60)</f>
        <v>60</v>
      </c>
      <c r="J464" s="214">
        <v>60</v>
      </c>
      <c r="K464" s="497"/>
      <c r="L464" s="497"/>
      <c r="M464" s="497"/>
      <c r="N464" s="497"/>
      <c r="O464" s="497"/>
      <c r="P464" s="497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205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IFERROR(__xludf.DUMMYFUNCTION("IMPORTRANGE(""https://docs.google.com/spreadsheets/d/1QqKyyYR6Q21VydFLVH3TRQUabQu_ym0Zz7PgGX0-kHA/edit?usp=sharing"",""แผน!FX86"")"),21)</f>
        <v>21</v>
      </c>
      <c r="J465" s="589">
        <f>J485+J489+J492</f>
        <v>21</v>
      </c>
      <c r="K465" s="590">
        <f ca="1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IFERROR(__xludf.DUMMYFUNCTION("IMPORTRANGE(""https://docs.google.com/spreadsheets/d/1QqKyyYR6Q21VydFLVH3TRQUabQu_ym0Zz7PgGX0-kHA/edit?usp=sharing"",""แผน!FW86"")"),200)</f>
        <v>200</v>
      </c>
      <c r="J466" s="569">
        <f>J495+J498</f>
        <v>200</v>
      </c>
      <c r="K466" s="570">
        <f ca="1">IF(I466&gt;0,J466*100/I466,0)</f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87" t="s">
        <v>17</v>
      </c>
      <c r="E467" s="888"/>
      <c r="F467" s="888"/>
      <c r="G467" s="188"/>
      <c r="H467" s="597" t="s">
        <v>12</v>
      </c>
      <c r="I467" s="269"/>
      <c r="J467" s="269"/>
      <c r="K467" s="497"/>
      <c r="L467" s="194">
        <f ca="1">L468+L469</f>
        <v>174403</v>
      </c>
      <c r="M467" s="194">
        <f ca="1">M468+M469</f>
        <v>189883</v>
      </c>
      <c r="N467" s="194">
        <f>N468+N469</f>
        <v>189883</v>
      </c>
      <c r="O467" s="194">
        <f t="shared" ref="O467:O472" ca="1" si="78">IF(L467&gt;0,N467*100/L467,0)</f>
        <v>108.87599410560598</v>
      </c>
      <c r="P467" s="194">
        <f t="shared" ref="P467:P472" ca="1" si="79">IF(M467&gt;0,N467*100/M467,0)</f>
        <v>100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184</v>
      </c>
      <c r="F468" s="758"/>
      <c r="G468" s="602"/>
      <c r="H468" s="164" t="s">
        <v>12</v>
      </c>
      <c r="I468" s="616"/>
      <c r="J468" s="616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185</v>
      </c>
      <c r="F469" s="758"/>
      <c r="G469" s="602"/>
      <c r="H469" s="164" t="s">
        <v>12</v>
      </c>
      <c r="I469" s="616"/>
      <c r="J469" s="616"/>
      <c r="K469" s="92"/>
      <c r="L469" s="92">
        <f t="shared" ca="1" si="80"/>
        <v>174403</v>
      </c>
      <c r="M469" s="92">
        <f t="shared" ca="1" si="80"/>
        <v>189883</v>
      </c>
      <c r="N469" s="92">
        <f t="shared" si="80"/>
        <v>189883</v>
      </c>
      <c r="O469" s="92">
        <f t="shared" ca="1" si="78"/>
        <v>108.87599410560598</v>
      </c>
      <c r="P469" s="92">
        <f t="shared" ca="1" si="79"/>
        <v>100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8"/>
      <c r="H470" s="160" t="s">
        <v>12</v>
      </c>
      <c r="I470" s="183"/>
      <c r="J470" s="183"/>
      <c r="K470" s="162"/>
      <c r="L470" s="497">
        <f ca="1">L471+L472</f>
        <v>174403</v>
      </c>
      <c r="M470" s="497">
        <f ca="1">M471+M472</f>
        <v>189883</v>
      </c>
      <c r="N470" s="497">
        <f>N471+N472</f>
        <v>189883</v>
      </c>
      <c r="O470" s="497">
        <f t="shared" ca="1" si="78"/>
        <v>108.87599410560598</v>
      </c>
      <c r="P470" s="497">
        <f t="shared" ca="1" si="79"/>
        <v>100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184</v>
      </c>
      <c r="F471" s="758"/>
      <c r="G471" s="602"/>
      <c r="H471" s="164" t="s">
        <v>12</v>
      </c>
      <c r="I471" s="616"/>
      <c r="J471" s="616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185</v>
      </c>
      <c r="F472" s="758"/>
      <c r="G472" s="602"/>
      <c r="H472" s="164" t="s">
        <v>12</v>
      </c>
      <c r="I472" s="616"/>
      <c r="J472" s="616"/>
      <c r="K472" s="92"/>
      <c r="L472" s="92">
        <f ca="1">IFERROR(__xludf.DUMMYFUNCTION("IMPORTRANGE(""https://docs.google.com/spreadsheets/d/1QqKyyYR6Q21VydFLVH3TRQUabQu_ym0Zz7PgGX0-kHA/edit?usp=sharing"",""แผน!FS86"")"),174403)</f>
        <v>174403</v>
      </c>
      <c r="M472" s="92">
        <f ca="1">L472+15480</f>
        <v>189883</v>
      </c>
      <c r="N472" s="92">
        <f>N473+N474+N475+N476</f>
        <v>189883</v>
      </c>
      <c r="O472" s="92">
        <f t="shared" ca="1" si="78"/>
        <v>108.87599410560598</v>
      </c>
      <c r="P472" s="92">
        <f t="shared" ca="1" si="79"/>
        <v>100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826">
        <v>41963</v>
      </c>
      <c r="O473" s="497"/>
      <c r="P473" s="497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826">
        <v>128000</v>
      </c>
      <c r="O474" s="497"/>
      <c r="P474" s="497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826">
        <v>0</v>
      </c>
      <c r="O475" s="497"/>
      <c r="P475" s="497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826">
        <v>19920</v>
      </c>
      <c r="O476" s="497"/>
      <c r="P476" s="497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IFERROR(__xludf.DUMMYFUNCTION("IMPORTRANGE(""https://docs.google.com/spreadsheets/d/1QqKyyYR6Q21VydFLVH3TRQUabQu_ym0Zz7PgGX0-kHA/edit?usp=sharing"",""แผน!FV86"")"),0)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43" t="s">
        <v>38</v>
      </c>
      <c r="E480" s="610"/>
      <c r="F480" s="760"/>
      <c r="G480" s="612"/>
      <c r="H480" s="761"/>
      <c r="I480" s="269"/>
      <c r="J480" s="269"/>
      <c r="K480" s="497"/>
      <c r="L480" s="497"/>
      <c r="M480" s="497"/>
      <c r="N480" s="497"/>
      <c r="O480" s="497"/>
      <c r="P480" s="497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206</v>
      </c>
      <c r="E481" s="617"/>
      <c r="F481" s="617"/>
      <c r="G481" s="761"/>
      <c r="H481" s="188"/>
      <c r="I481" s="269"/>
      <c r="J481" s="269"/>
      <c r="K481" s="497"/>
      <c r="L481" s="497"/>
      <c r="M481" s="497"/>
      <c r="N481" s="497"/>
      <c r="O481" s="497"/>
      <c r="P481" s="497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207</v>
      </c>
      <c r="F482" s="617"/>
      <c r="G482" s="761"/>
      <c r="H482" s="188"/>
      <c r="I482" s="269"/>
      <c r="J482" s="269"/>
      <c r="K482" s="497"/>
      <c r="L482" s="497"/>
      <c r="M482" s="497"/>
      <c r="N482" s="497"/>
      <c r="O482" s="497"/>
      <c r="P482" s="497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208</v>
      </c>
      <c r="G483" s="761"/>
      <c r="H483" s="622" t="s">
        <v>46</v>
      </c>
      <c r="I483" s="269">
        <f ca="1">IFERROR(__xludf.DUMMYFUNCTION("IMPORTRANGE(""https://docs.google.com/spreadsheets/d/1QqKyyYR6Q21VydFLVH3TRQUabQu_ym0Zz7PgGX0-kHA/edit?usp=sharing"",""แผน!FY86"")"),180)</f>
        <v>180</v>
      </c>
      <c r="J483" s="214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209</v>
      </c>
      <c r="G484" s="761"/>
      <c r="H484" s="622" t="s">
        <v>35</v>
      </c>
      <c r="I484" s="269"/>
      <c r="J484" s="214">
        <v>21</v>
      </c>
      <c r="K484" s="497"/>
      <c r="L484" s="497"/>
      <c r="M484" s="497"/>
      <c r="N484" s="497"/>
      <c r="O484" s="497"/>
      <c r="P484" s="497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210</v>
      </c>
      <c r="G485" s="761"/>
      <c r="H485" s="622" t="s">
        <v>35</v>
      </c>
      <c r="I485" s="269">
        <f ca="1">IFERROR(__xludf.DUMMYFUNCTION("IMPORTRANGE(""https://docs.google.com/spreadsheets/d/1QqKyyYR6Q21VydFLVH3TRQUabQu_ym0Zz7PgGX0-kHA/edit?usp=sharing"",""แผน!FZ86"")"),18)</f>
        <v>18</v>
      </c>
      <c r="J485" s="214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69"/>
      <c r="J486" s="269"/>
      <c r="K486" s="497"/>
      <c r="L486" s="497"/>
      <c r="M486" s="497"/>
      <c r="N486" s="497"/>
      <c r="O486" s="497"/>
      <c r="P486" s="497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208</v>
      </c>
      <c r="G487" s="761"/>
      <c r="H487" s="622" t="s">
        <v>46</v>
      </c>
      <c r="I487" s="269">
        <f ca="1">IFERROR(__xludf.DUMMYFUNCTION("IMPORTRANGE(""https://docs.google.com/spreadsheets/d/1QqKyyYR6Q21VydFLVH3TRQUabQu_ym0Zz7PgGX0-kHA/edit?usp=sharing"",""แผน!GA86"")"),20)</f>
        <v>20</v>
      </c>
      <c r="J487" s="214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211</v>
      </c>
      <c r="G488" s="761"/>
      <c r="H488" s="622" t="s">
        <v>35</v>
      </c>
      <c r="I488" s="269"/>
      <c r="J488" s="214">
        <v>2</v>
      </c>
      <c r="K488" s="497"/>
      <c r="L488" s="497"/>
      <c r="M488" s="497"/>
      <c r="N488" s="497"/>
      <c r="O488" s="497"/>
      <c r="P488" s="497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212</v>
      </c>
      <c r="G489" s="761"/>
      <c r="H489" s="622" t="s">
        <v>35</v>
      </c>
      <c r="I489" s="269">
        <f ca="1">IFERROR(__xludf.DUMMYFUNCTION("IMPORTRANGE(""https://docs.google.com/spreadsheets/d/1QqKyyYR6Q21VydFLVH3TRQUabQu_ym0Zz7PgGX0-kHA/edit?usp=sharing"",""แผน!GB86"")"),2)</f>
        <v>2</v>
      </c>
      <c r="J489" s="214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69"/>
      <c r="J490" s="269"/>
      <c r="K490" s="497"/>
      <c r="L490" s="497"/>
      <c r="M490" s="497"/>
      <c r="N490" s="497"/>
      <c r="O490" s="497"/>
      <c r="P490" s="497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213</v>
      </c>
      <c r="G491" s="761"/>
      <c r="H491" s="622" t="s">
        <v>35</v>
      </c>
      <c r="I491" s="269"/>
      <c r="J491" s="214">
        <v>1</v>
      </c>
      <c r="K491" s="497"/>
      <c r="L491" s="497"/>
      <c r="M491" s="497"/>
      <c r="N491" s="497"/>
      <c r="O491" s="497"/>
      <c r="P491" s="497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214</v>
      </c>
      <c r="G492" s="761"/>
      <c r="H492" s="622" t="s">
        <v>35</v>
      </c>
      <c r="I492" s="269">
        <f ca="1">IFERROR(__xludf.DUMMYFUNCTION("IMPORTRANGE(""https://docs.google.com/spreadsheets/d/1QqKyyYR6Q21VydFLVH3TRQUabQu_ym0Zz7PgGX0-kHA/edit?usp=sharing"",""แผน!GC86"")"),1)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8"/>
      <c r="I493" s="269"/>
      <c r="J493" s="269"/>
      <c r="K493" s="497"/>
      <c r="L493" s="497"/>
      <c r="M493" s="497"/>
      <c r="N493" s="497"/>
      <c r="O493" s="497"/>
      <c r="P493" s="497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207</v>
      </c>
      <c r="F494" s="625"/>
      <c r="G494" s="761"/>
      <c r="H494" s="188"/>
      <c r="I494" s="269"/>
      <c r="J494" s="269"/>
      <c r="K494" s="497"/>
      <c r="L494" s="497"/>
      <c r="M494" s="497"/>
      <c r="N494" s="497"/>
      <c r="O494" s="497"/>
      <c r="P494" s="497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215</v>
      </c>
      <c r="G495" s="761"/>
      <c r="H495" s="622" t="s">
        <v>46</v>
      </c>
      <c r="I495" s="269">
        <f ca="1">IFERROR(__xludf.DUMMYFUNCTION("IMPORTRANGE(""https://docs.google.com/spreadsheets/d/1QqKyyYR6Q21VydFLVH3TRQUabQu_ym0Zz7PgGX0-kHA/edit?usp=sharing"",""แผน!FY86"")"),180)</f>
        <v>180</v>
      </c>
      <c r="J495" s="214">
        <v>180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216</v>
      </c>
      <c r="G496" s="761"/>
      <c r="H496" s="622" t="s">
        <v>46</v>
      </c>
      <c r="I496" s="269"/>
      <c r="J496" s="214">
        <v>180</v>
      </c>
      <c r="K496" s="497"/>
      <c r="L496" s="497"/>
      <c r="M496" s="497"/>
      <c r="N496" s="497"/>
      <c r="O496" s="497"/>
      <c r="P496" s="497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8"/>
      <c r="I497" s="269"/>
      <c r="J497" s="269"/>
      <c r="K497" s="497"/>
      <c r="L497" s="497"/>
      <c r="M497" s="497"/>
      <c r="N497" s="497"/>
      <c r="O497" s="497"/>
      <c r="P497" s="497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217</v>
      </c>
      <c r="G498" s="761"/>
      <c r="H498" s="622" t="s">
        <v>46</v>
      </c>
      <c r="I498" s="269">
        <f ca="1">IFERROR(__xludf.DUMMYFUNCTION("IMPORTRANGE(""https://docs.google.com/spreadsheets/d/1QqKyyYR6Q21VydFLVH3TRQUabQu_ym0Zz7PgGX0-kHA/edit?usp=sharing"",""แผน!GA86"")"),20)</f>
        <v>20</v>
      </c>
      <c r="J498" s="214">
        <v>20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218</v>
      </c>
      <c r="G499" s="761"/>
      <c r="H499" s="622" t="s">
        <v>46</v>
      </c>
      <c r="I499" s="269"/>
      <c r="J499" s="214">
        <v>20</v>
      </c>
      <c r="K499" s="497"/>
      <c r="L499" s="497"/>
      <c r="M499" s="497"/>
      <c r="N499" s="497"/>
      <c r="O499" s="497"/>
      <c r="P499" s="497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219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>J516</f>
        <v>0</v>
      </c>
      <c r="K500" s="633">
        <f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220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>J517</f>
        <v>0</v>
      </c>
      <c r="K501" s="642">
        <f>IF(I501&gt;0,J501*100/I501,0)</f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92" t="s">
        <v>17</v>
      </c>
      <c r="E502" s="888"/>
      <c r="F502" s="888"/>
      <c r="G502" s="602"/>
      <c r="H502" s="645" t="s">
        <v>12</v>
      </c>
      <c r="I502" s="616"/>
      <c r="J502" s="616"/>
      <c r="K502" s="92"/>
      <c r="L502" s="646">
        <f>L503+L504</f>
        <v>0</v>
      </c>
      <c r="M502" s="646">
        <f>M503+M504</f>
        <v>0</v>
      </c>
      <c r="N502" s="646">
        <f>N503+N504</f>
        <v>0</v>
      </c>
      <c r="O502" s="646">
        <f t="shared" ref="O502:O507" si="81">IF(L502&gt;0,N502*100/L502,0)</f>
        <v>0</v>
      </c>
      <c r="P502" s="646">
        <f t="shared" ref="P502:P507" si="82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184</v>
      </c>
      <c r="F503" s="758"/>
      <c r="G503" s="602"/>
      <c r="H503" s="164" t="s">
        <v>12</v>
      </c>
      <c r="I503" s="616"/>
      <c r="J503" s="616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185</v>
      </c>
      <c r="F504" s="758"/>
      <c r="G504" s="602"/>
      <c r="H504" s="164" t="s">
        <v>12</v>
      </c>
      <c r="I504" s="616"/>
      <c r="J504" s="616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184</v>
      </c>
      <c r="F506" s="758"/>
      <c r="G506" s="602"/>
      <c r="H506" s="164" t="s">
        <v>12</v>
      </c>
      <c r="I506" s="616"/>
      <c r="J506" s="616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185</v>
      </c>
      <c r="F507" s="758"/>
      <c r="G507" s="602"/>
      <c r="H507" s="164" t="s">
        <v>12</v>
      </c>
      <c r="I507" s="616"/>
      <c r="J507" s="616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186</v>
      </c>
      <c r="G508" s="602"/>
      <c r="H508" s="164" t="s">
        <v>12</v>
      </c>
      <c r="I508" s="616"/>
      <c r="J508" s="616"/>
      <c r="K508" s="92"/>
      <c r="L508" s="92"/>
      <c r="M508" s="92"/>
      <c r="N508" s="92">
        <v>0</v>
      </c>
      <c r="O508" s="92"/>
      <c r="P508" s="92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187</v>
      </c>
      <c r="G509" s="602"/>
      <c r="H509" s="164" t="s">
        <v>12</v>
      </c>
      <c r="I509" s="616"/>
      <c r="J509" s="616"/>
      <c r="K509" s="92"/>
      <c r="L509" s="92"/>
      <c r="M509" s="92"/>
      <c r="N509" s="92">
        <v>0</v>
      </c>
      <c r="O509" s="92"/>
      <c r="P509" s="92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188</v>
      </c>
      <c r="G510" s="602"/>
      <c r="H510" s="164" t="s">
        <v>12</v>
      </c>
      <c r="I510" s="616"/>
      <c r="J510" s="616"/>
      <c r="K510" s="92"/>
      <c r="L510" s="92"/>
      <c r="M510" s="92"/>
      <c r="N510" s="92">
        <v>0</v>
      </c>
      <c r="O510" s="92"/>
      <c r="P510" s="92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189</v>
      </c>
      <c r="G511" s="602"/>
      <c r="H511" s="164" t="s">
        <v>12</v>
      </c>
      <c r="I511" s="616"/>
      <c r="J511" s="616"/>
      <c r="K511" s="92"/>
      <c r="L511" s="92"/>
      <c r="M511" s="92"/>
      <c r="N511" s="92">
        <v>0</v>
      </c>
      <c r="O511" s="92"/>
      <c r="P511" s="92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42" t="s">
        <v>38</v>
      </c>
      <c r="E515" s="650"/>
      <c r="F515" s="650"/>
      <c r="G515" s="651"/>
      <c r="H515" s="365"/>
      <c r="I515" s="165"/>
      <c r="J515" s="165"/>
      <c r="K515" s="166"/>
      <c r="L515" s="166"/>
      <c r="M515" s="166"/>
      <c r="N515" s="166"/>
      <c r="O515" s="166"/>
      <c r="P515" s="166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221</v>
      </c>
      <c r="E516" s="719"/>
      <c r="F516" s="719"/>
      <c r="G516" s="365"/>
      <c r="H516" s="652" t="s">
        <v>109</v>
      </c>
      <c r="I516" s="616"/>
      <c r="J516" s="616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222</v>
      </c>
      <c r="E517" s="719"/>
      <c r="F517" s="719"/>
      <c r="G517" s="365"/>
      <c r="H517" s="653" t="s">
        <v>35</v>
      </c>
      <c r="I517" s="654"/>
      <c r="J517" s="654">
        <f>J518+J519</f>
        <v>0</v>
      </c>
      <c r="K517" s="655">
        <f>IF(I517&gt;0,J517*100/I517,0)</f>
        <v>0</v>
      </c>
      <c r="L517" s="166"/>
      <c r="M517" s="166"/>
      <c r="N517" s="166"/>
      <c r="O517" s="166"/>
      <c r="P517" s="166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223</v>
      </c>
      <c r="F518" s="719"/>
      <c r="G518" s="365"/>
      <c r="H518" s="369" t="s">
        <v>35</v>
      </c>
      <c r="I518" s="616"/>
      <c r="J518" s="616"/>
      <c r="K518" s="166"/>
      <c r="L518" s="166"/>
      <c r="M518" s="166"/>
      <c r="N518" s="166"/>
      <c r="O518" s="166"/>
      <c r="P518" s="166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224</v>
      </c>
      <c r="F519" s="719"/>
      <c r="G519" s="365"/>
      <c r="H519" s="652" t="s">
        <v>35</v>
      </c>
      <c r="I519" s="616"/>
      <c r="J519" s="616"/>
      <c r="K519" s="166"/>
      <c r="L519" s="166"/>
      <c r="M519" s="166"/>
      <c r="N519" s="166"/>
      <c r="O519" s="166"/>
      <c r="P519" s="166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>
      <c r="A521" s="663">
        <v>5</v>
      </c>
      <c r="B521" s="664" t="s">
        <v>225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>
      <c r="A522" s="670"/>
      <c r="B522" s="671" t="s">
        <v>226</v>
      </c>
      <c r="C522" s="672"/>
      <c r="D522" s="672"/>
      <c r="E522" s="672"/>
      <c r="F522" s="672"/>
      <c r="G522" s="673"/>
      <c r="H522" s="674" t="s">
        <v>35</v>
      </c>
      <c r="I522" s="707">
        <f ca="1">I537</f>
        <v>30</v>
      </c>
      <c r="J522" s="707">
        <f ca="1">J537</f>
        <v>30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>
      <c r="A523" s="596"/>
      <c r="B523" s="762"/>
      <c r="C523" s="762" t="s">
        <v>16</v>
      </c>
      <c r="D523" s="887" t="s">
        <v>17</v>
      </c>
      <c r="E523" s="888"/>
      <c r="F523" s="888"/>
      <c r="G523" s="188"/>
      <c r="H523" s="597" t="s">
        <v>12</v>
      </c>
      <c r="I523" s="269"/>
      <c r="J523" s="269"/>
      <c r="K523" s="497"/>
      <c r="L523" s="194">
        <f ca="1">L524+L525</f>
        <v>288960</v>
      </c>
      <c r="M523" s="194">
        <f ca="1">M524+M525</f>
        <v>317560</v>
      </c>
      <c r="N523" s="194">
        <f>N524+N525</f>
        <v>317560</v>
      </c>
      <c r="O523" s="194">
        <f t="shared" ref="O523:O528" ca="1" si="84">IF(L523&gt;0,N523*100/L523,0)</f>
        <v>109.89756367663344</v>
      </c>
      <c r="P523" s="194">
        <f t="shared" ref="P523:P528" ca="1" si="85">IF(M523&gt;0,N523*100/M523,0)</f>
        <v>100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184</v>
      </c>
      <c r="F524" s="758"/>
      <c r="G524" s="602"/>
      <c r="H524" s="164" t="s">
        <v>12</v>
      </c>
      <c r="I524" s="616"/>
      <c r="J524" s="616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185</v>
      </c>
      <c r="F525" s="758"/>
      <c r="G525" s="602"/>
      <c r="H525" s="164" t="s">
        <v>12</v>
      </c>
      <c r="I525" s="616"/>
      <c r="J525" s="616"/>
      <c r="K525" s="92"/>
      <c r="L525" s="92">
        <f t="shared" ca="1" si="86"/>
        <v>288960</v>
      </c>
      <c r="M525" s="92">
        <f t="shared" ca="1" si="86"/>
        <v>317560</v>
      </c>
      <c r="N525" s="92">
        <f t="shared" si="86"/>
        <v>317560</v>
      </c>
      <c r="O525" s="92">
        <f t="shared" ca="1" si="84"/>
        <v>109.89756367663344</v>
      </c>
      <c r="P525" s="92">
        <f t="shared" ca="1" si="85"/>
        <v>100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>
      <c r="A526" s="596"/>
      <c r="B526" s="574"/>
      <c r="C526" s="762"/>
      <c r="D526" s="605" t="s">
        <v>20</v>
      </c>
      <c r="E526" s="762"/>
      <c r="F526" s="762"/>
      <c r="G526" s="188"/>
      <c r="H526" s="160" t="s">
        <v>12</v>
      </c>
      <c r="I526" s="183"/>
      <c r="J526" s="183"/>
      <c r="K526" s="162"/>
      <c r="L526" s="497">
        <f ca="1">L527+L528</f>
        <v>288960</v>
      </c>
      <c r="M526" s="497">
        <f ca="1">M527+M528</f>
        <v>317560</v>
      </c>
      <c r="N526" s="497">
        <f>N527+N528</f>
        <v>317560</v>
      </c>
      <c r="O526" s="497">
        <f t="shared" ca="1" si="84"/>
        <v>109.89756367663344</v>
      </c>
      <c r="P526" s="497">
        <f t="shared" ca="1" si="85"/>
        <v>100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184</v>
      </c>
      <c r="F527" s="758"/>
      <c r="G527" s="602"/>
      <c r="H527" s="164" t="s">
        <v>12</v>
      </c>
      <c r="I527" s="616"/>
      <c r="J527" s="616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185</v>
      </c>
      <c r="F528" s="758"/>
      <c r="G528" s="602"/>
      <c r="H528" s="164" t="s">
        <v>12</v>
      </c>
      <c r="I528" s="616"/>
      <c r="J528" s="616"/>
      <c r="K528" s="92"/>
      <c r="L528" s="92">
        <f ca="1">IFERROR(__xludf.DUMMYFUNCTION("IMPORTRANGE(""https://docs.google.com/spreadsheets/d/1QqKyyYR6Q21VydFLVH3TRQUabQu_ym0Zz7PgGX0-kHA/edit?usp=sharing"",""แผน!GQ86"")"),288960)</f>
        <v>288960</v>
      </c>
      <c r="M528" s="92">
        <f ca="1">L528+38900-10300</f>
        <v>317560</v>
      </c>
      <c r="N528" s="92">
        <f>N529+N530+N531+N532</f>
        <v>317560</v>
      </c>
      <c r="O528" s="92">
        <f t="shared" ca="1" si="84"/>
        <v>109.89756367663344</v>
      </c>
      <c r="P528" s="92">
        <f t="shared" ca="1" si="85"/>
        <v>100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>
      <c r="A529" s="573"/>
      <c r="B529" s="574"/>
      <c r="C529" s="762"/>
      <c r="D529" s="762"/>
      <c r="E529" s="762"/>
      <c r="F529" s="762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826">
        <v>134800</v>
      </c>
      <c r="O529" s="497"/>
      <c r="P529" s="497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>
      <c r="A530" s="573"/>
      <c r="B530" s="574"/>
      <c r="C530" s="762"/>
      <c r="D530" s="762"/>
      <c r="E530" s="762"/>
      <c r="F530" s="762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826">
        <v>150000</v>
      </c>
      <c r="O530" s="497"/>
      <c r="P530" s="497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>
      <c r="A531" s="573"/>
      <c r="B531" s="574"/>
      <c r="C531" s="762"/>
      <c r="D531" s="762"/>
      <c r="E531" s="762"/>
      <c r="F531" s="762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826">
        <v>0</v>
      </c>
      <c r="O531" s="497"/>
      <c r="P531" s="497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>
      <c r="A532" s="573"/>
      <c r="B532" s="574"/>
      <c r="C532" s="762"/>
      <c r="D532" s="762"/>
      <c r="E532" s="762"/>
      <c r="F532" s="762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826">
        <v>32760</v>
      </c>
      <c r="O532" s="497"/>
      <c r="P532" s="497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>
      <c r="A533" s="596"/>
      <c r="B533" s="574"/>
      <c r="C533" s="762"/>
      <c r="D533" s="605" t="s">
        <v>21</v>
      </c>
      <c r="E533" s="762"/>
      <c r="F533" s="762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IFERROR(__xludf.DUMMYFUNCTION("IMPORTRANGE(""https://docs.google.com/spreadsheets/d/1QqKyyYR6Q21VydFLVH3TRQUabQu_ym0Zz7PgGX0-kHA/edit?usp=sharing"",""แผน!GT86"")"),0)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>
      <c r="A536" s="607"/>
      <c r="B536" s="617"/>
      <c r="C536" s="762" t="s">
        <v>16</v>
      </c>
      <c r="D536" s="841" t="s">
        <v>38</v>
      </c>
      <c r="E536" s="760"/>
      <c r="F536" s="760"/>
      <c r="G536" s="612"/>
      <c r="H536" s="761"/>
      <c r="I536" s="183"/>
      <c r="J536" s="183"/>
      <c r="K536" s="162"/>
      <c r="L536" s="162"/>
      <c r="M536" s="162"/>
      <c r="N536" s="162"/>
      <c r="O536" s="162"/>
      <c r="P536" s="162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>
      <c r="A537" s="573"/>
      <c r="B537" s="574"/>
      <c r="C537" s="762"/>
      <c r="D537" s="762" t="s">
        <v>227</v>
      </c>
      <c r="E537" s="762"/>
      <c r="F537" s="762"/>
      <c r="G537" s="188"/>
      <c r="H537" s="622" t="s">
        <v>35</v>
      </c>
      <c r="I537" s="680">
        <f ca="1">IFERROR(__xludf.DUMMYFUNCTION("IMPORTRANGE(""https://docs.google.com/spreadsheets/d/1QqKyyYR6Q21VydFLVH3TRQUabQu_ym0Zz7PgGX0-kHA/edit?usp=sharing"",""แผน!GU86"")"),30)</f>
        <v>30</v>
      </c>
      <c r="J537" s="680">
        <f ca="1">IF(AND(J538=I538,J539=I539,J540=I540,J541=I541),I537,0)</f>
        <v>30</v>
      </c>
      <c r="K537" s="497">
        <f t="shared" ref="K537:K543" ca="1" si="87">IF(I537&gt;0,J537*100/I537,0)</f>
        <v>100</v>
      </c>
      <c r="L537" s="497"/>
      <c r="M537" s="497"/>
      <c r="N537" s="497"/>
      <c r="O537" s="497"/>
      <c r="P537" s="497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>
      <c r="A538" s="573"/>
      <c r="B538" s="574"/>
      <c r="C538" s="762"/>
      <c r="D538" s="762"/>
      <c r="E538" s="762" t="s">
        <v>228</v>
      </c>
      <c r="F538" s="762"/>
      <c r="G538" s="188"/>
      <c r="H538" s="622" t="s">
        <v>35</v>
      </c>
      <c r="I538" s="269">
        <f ca="1">IFERROR(__xludf.DUMMYFUNCTION("IMPORTRANGE(""https://docs.google.com/spreadsheets/d/1QqKyyYR6Q21VydFLVH3TRQUabQu_ym0Zz7PgGX0-kHA/edit?usp=sharing"",""แผน!GV86"")"),30)</f>
        <v>30</v>
      </c>
      <c r="J538" s="214">
        <v>30</v>
      </c>
      <c r="K538" s="497">
        <f t="shared" ca="1" si="87"/>
        <v>100</v>
      </c>
      <c r="L538" s="497"/>
      <c r="M538" s="497"/>
      <c r="N538" s="497"/>
      <c r="O538" s="497"/>
      <c r="P538" s="497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>
      <c r="A539" s="573"/>
      <c r="B539" s="574"/>
      <c r="C539" s="762"/>
      <c r="D539" s="762"/>
      <c r="E539" s="762" t="s">
        <v>229</v>
      </c>
      <c r="F539" s="762"/>
      <c r="G539" s="188"/>
      <c r="H539" s="622" t="s">
        <v>35</v>
      </c>
      <c r="I539" s="269">
        <f ca="1">IFERROR(__xludf.DUMMYFUNCTION("IMPORTRANGE(""https://docs.google.com/spreadsheets/d/1QqKyyYR6Q21VydFLVH3TRQUabQu_ym0Zz7PgGX0-kHA/edit?usp=sharing"",""แผน!GW86"")"),30)</f>
        <v>30</v>
      </c>
      <c r="J539" s="214">
        <v>30</v>
      </c>
      <c r="K539" s="497">
        <f t="shared" ca="1" si="87"/>
        <v>100</v>
      </c>
      <c r="L539" s="497"/>
      <c r="M539" s="497"/>
      <c r="N539" s="497"/>
      <c r="O539" s="497"/>
      <c r="P539" s="497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>
      <c r="A540" s="573"/>
      <c r="B540" s="574"/>
      <c r="C540" s="762"/>
      <c r="D540" s="762"/>
      <c r="E540" s="762" t="s">
        <v>230</v>
      </c>
      <c r="F540" s="762"/>
      <c r="G540" s="188"/>
      <c r="H540" s="622" t="s">
        <v>35</v>
      </c>
      <c r="I540" s="269">
        <f ca="1">IFERROR(__xludf.DUMMYFUNCTION("IMPORTRANGE(""https://docs.google.com/spreadsheets/d/1QqKyyYR6Q21VydFLVH3TRQUabQu_ym0Zz7PgGX0-kHA/edit?usp=sharing"",""แผน!GX86"")"),30)</f>
        <v>30</v>
      </c>
      <c r="J540" s="214">
        <v>30</v>
      </c>
      <c r="K540" s="497">
        <f t="shared" ca="1" si="87"/>
        <v>100</v>
      </c>
      <c r="L540" s="497"/>
      <c r="M540" s="497"/>
      <c r="N540" s="497"/>
      <c r="O540" s="497"/>
      <c r="P540" s="497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>
      <c r="A541" s="573"/>
      <c r="B541" s="574"/>
      <c r="C541" s="762"/>
      <c r="D541" s="762"/>
      <c r="E541" s="768" t="s">
        <v>231</v>
      </c>
      <c r="F541" s="762"/>
      <c r="G541" s="188"/>
      <c r="H541" s="622" t="s">
        <v>35</v>
      </c>
      <c r="I541" s="269">
        <f ca="1">IFERROR(__xludf.DUMMYFUNCTION("IMPORTRANGE(""https://docs.google.com/spreadsheets/d/1QqKyyYR6Q21VydFLVH3TRQUabQu_ym0Zz7PgGX0-kHA/edit?usp=sharing"",""แผน!GY86"")"),0)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>
      <c r="A542" s="573"/>
      <c r="B542" s="574"/>
      <c r="C542" s="762"/>
      <c r="D542" s="762" t="s">
        <v>59</v>
      </c>
      <c r="E542" s="762"/>
      <c r="F542" s="762"/>
      <c r="G542" s="188"/>
      <c r="H542" s="622" t="s">
        <v>35</v>
      </c>
      <c r="I542" s="269">
        <f ca="1">IFERROR(__xludf.DUMMYFUNCTION("IMPORTRANGE(""https://docs.google.com/spreadsheets/d/1QqKyyYR6Q21VydFLVH3TRQUabQu_ym0Zz7PgGX0-kHA/edit?usp=sharing"",""แผน!GZ86"")"),30)</f>
        <v>30</v>
      </c>
      <c r="J542" s="214">
        <v>30</v>
      </c>
      <c r="K542" s="497">
        <f t="shared" ca="1" si="87"/>
        <v>100</v>
      </c>
      <c r="L542" s="497"/>
      <c r="M542" s="497"/>
      <c r="N542" s="497"/>
      <c r="O542" s="497"/>
      <c r="P542" s="497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232</v>
      </c>
      <c r="C543" s="666"/>
      <c r="D543" s="666"/>
      <c r="E543" s="666"/>
      <c r="F543" s="666"/>
      <c r="G543" s="667"/>
      <c r="H543" s="685" t="s">
        <v>46</v>
      </c>
      <c r="I543" s="686">
        <f ca="1">I559</f>
        <v>32464.1525</v>
      </c>
      <c r="J543" s="686">
        <f>J559</f>
        <v>32464.1525</v>
      </c>
      <c r="K543" s="687">
        <f t="shared" ca="1" si="87"/>
        <v>100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911" t="s">
        <v>17</v>
      </c>
      <c r="E544" s="890"/>
      <c r="F544" s="890"/>
      <c r="G544" s="690"/>
      <c r="H544" s="274" t="s">
        <v>12</v>
      </c>
      <c r="I544" s="420"/>
      <c r="J544" s="420"/>
      <c r="K544" s="153"/>
      <c r="L544" s="154">
        <f ca="1">L545+L546</f>
        <v>393495</v>
      </c>
      <c r="M544" s="154">
        <f ca="1">M545+M546</f>
        <v>926035.7</v>
      </c>
      <c r="N544" s="154">
        <f>N545+N546</f>
        <v>926035.7</v>
      </c>
      <c r="O544" s="154">
        <f t="shared" ref="O544:O549" ca="1" si="88">IF(L544&gt;0,N544*100/L544,0)</f>
        <v>235.33607796795386</v>
      </c>
      <c r="P544" s="154">
        <f t="shared" ref="P544:P549" ca="1" si="89">IF(M544&gt;0,N544*100/M544,0)</f>
        <v>100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184</v>
      </c>
      <c r="F545" s="758"/>
      <c r="G545" s="602"/>
      <c r="H545" s="164" t="s">
        <v>12</v>
      </c>
      <c r="I545" s="616"/>
      <c r="J545" s="616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185</v>
      </c>
      <c r="F546" s="758"/>
      <c r="G546" s="602"/>
      <c r="H546" s="164" t="s">
        <v>12</v>
      </c>
      <c r="I546" s="616"/>
      <c r="J546" s="616"/>
      <c r="K546" s="92"/>
      <c r="L546" s="92">
        <f ca="1">L549+L557</f>
        <v>393495</v>
      </c>
      <c r="M546" s="92">
        <f ca="1">M549+M556</f>
        <v>926035.7</v>
      </c>
      <c r="N546" s="92">
        <f>N549+N556</f>
        <v>926035.7</v>
      </c>
      <c r="O546" s="92">
        <f t="shared" ca="1" si="88"/>
        <v>235.33607796795386</v>
      </c>
      <c r="P546" s="92">
        <f t="shared" ca="1" si="89"/>
        <v>100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8"/>
      <c r="H547" s="160" t="s">
        <v>12</v>
      </c>
      <c r="I547" s="183"/>
      <c r="J547" s="183"/>
      <c r="K547" s="162"/>
      <c r="L547" s="497">
        <f ca="1">L548+L549</f>
        <v>393495</v>
      </c>
      <c r="M547" s="497">
        <f ca="1">M548+M549</f>
        <v>926035.7</v>
      </c>
      <c r="N547" s="497">
        <f>N548+N549</f>
        <v>926035.7</v>
      </c>
      <c r="O547" s="497">
        <f t="shared" ca="1" si="88"/>
        <v>235.33607796795386</v>
      </c>
      <c r="P547" s="497">
        <f t="shared" ca="1" si="89"/>
        <v>100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184</v>
      </c>
      <c r="F548" s="758"/>
      <c r="G548" s="602"/>
      <c r="H548" s="164" t="s">
        <v>12</v>
      </c>
      <c r="I548" s="616"/>
      <c r="J548" s="616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185</v>
      </c>
      <c r="F549" s="758"/>
      <c r="G549" s="602"/>
      <c r="H549" s="164" t="s">
        <v>12</v>
      </c>
      <c r="I549" s="616"/>
      <c r="J549" s="616"/>
      <c r="K549" s="92"/>
      <c r="L549" s="92">
        <f ca="1">IFERROR(__xludf.DUMMYFUNCTION("IMPORTRANGE(""https://docs.google.com/spreadsheets/d/1QqKyyYR6Q21VydFLVH3TRQUabQu_ym0Zz7PgGX0-kHA/edit?usp=sharing"",""แผน!HB86"")"),393495)</f>
        <v>393495</v>
      </c>
      <c r="M549" s="92">
        <f ca="1">L549+564631-32090.3</f>
        <v>926035.7</v>
      </c>
      <c r="N549" s="92">
        <f>N550+N551+N552+N553+N554</f>
        <v>926035.7</v>
      </c>
      <c r="O549" s="92">
        <f t="shared" ca="1" si="88"/>
        <v>235.33607796795386</v>
      </c>
      <c r="P549" s="92">
        <f t="shared" ca="1" si="89"/>
        <v>100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826">
        <v>0</v>
      </c>
      <c r="O550" s="497"/>
      <c r="P550" s="497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826">
        <v>0</v>
      </c>
      <c r="O551" s="497"/>
      <c r="P551" s="497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826">
        <v>143000</v>
      </c>
      <c r="O552" s="497"/>
      <c r="P552" s="497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826">
        <v>213587.7</v>
      </c>
      <c r="O553" s="497"/>
      <c r="P553" s="497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826">
        <v>569448</v>
      </c>
      <c r="O554" s="497"/>
      <c r="P554" s="497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IFERROR(__xludf.DUMMYFUNCTION("IMPORTRANGE(""https://docs.google.com/spreadsheets/d/1QqKyyYR6Q21VydFLVH3TRQUabQu_ym0Zz7PgGX0-kHA/edit?usp=sharing"",""แผน!HF86"")"),0)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41" t="s">
        <v>38</v>
      </c>
      <c r="E558" s="760"/>
      <c r="F558" s="760"/>
      <c r="G558" s="612"/>
      <c r="H558" s="761"/>
      <c r="I558" s="183"/>
      <c r="J558" s="183"/>
      <c r="K558" s="162"/>
      <c r="L558" s="162"/>
      <c r="M558" s="162"/>
      <c r="N558" s="162"/>
      <c r="O558" s="162"/>
      <c r="P558" s="162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234</v>
      </c>
      <c r="C559" s="693"/>
      <c r="D559" s="693"/>
      <c r="E559" s="672"/>
      <c r="F559" s="672"/>
      <c r="G559" s="673"/>
      <c r="H559" s="694" t="s">
        <v>46</v>
      </c>
      <c r="I559" s="707">
        <f ca="1">I576</f>
        <v>32464.1525</v>
      </c>
      <c r="J559" s="707">
        <f>J576</f>
        <v>32464.1525</v>
      </c>
      <c r="K559" s="676">
        <f ca="1">IF(I559&gt;0,J559*100/I559,0)</f>
        <v>100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235</v>
      </c>
      <c r="D560" s="617"/>
      <c r="E560" s="625"/>
      <c r="F560" s="625"/>
      <c r="G560" s="761"/>
      <c r="H560" s="766" t="s">
        <v>46</v>
      </c>
      <c r="I560" s="192">
        <f ca="1">IFERROR(__xludf.DUMMYFUNCTION("IMPORTRANGE(""https://docs.google.com/spreadsheets/d/1QqKyyYR6Q21VydFLVH3TRQUabQu_ym0Zz7PgGX0-kHA/edit?usp=sharing"",""แผน!HH86"")"),32464.1525)</f>
        <v>32464.1525</v>
      </c>
      <c r="J560" s="192">
        <f>J562+J564+J566</f>
        <v>32464.06</v>
      </c>
      <c r="K560" s="411">
        <f ca="1">IF(I560&gt;0,J560*100/I560,0)</f>
        <v>99.99971507033797</v>
      </c>
      <c r="L560" s="162"/>
      <c r="M560" s="162"/>
      <c r="N560" s="162"/>
      <c r="O560" s="162"/>
      <c r="P560" s="162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2">
        <f ca="1">IFERROR(__xludf.DUMMYFUNCTION("IMPORTRANGE(""https://docs.google.com/spreadsheets/d/1QqKyyYR6Q21VydFLVH3TRQUabQu_ym0Zz7PgGX0-kHA/edit?usp=sharing"",""แผน!HG86"")"),4075)</f>
        <v>4075</v>
      </c>
      <c r="J561" s="192">
        <f>J563+J565+J567</f>
        <v>4075</v>
      </c>
      <c r="K561" s="411">
        <f ca="1">IF(I561&gt;0,J561*100/I561,0)</f>
        <v>100</v>
      </c>
      <c r="L561" s="162"/>
      <c r="M561" s="162"/>
      <c r="N561" s="162"/>
      <c r="O561" s="162"/>
      <c r="P561" s="162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236</v>
      </c>
      <c r="E562" s="625"/>
      <c r="F562" s="625"/>
      <c r="G562" s="761"/>
      <c r="H562" s="763" t="s">
        <v>46</v>
      </c>
      <c r="I562" s="183"/>
      <c r="J562" s="214">
        <v>29538.06</v>
      </c>
      <c r="K562" s="162"/>
      <c r="L562" s="162"/>
      <c r="M562" s="162"/>
      <c r="N562" s="162"/>
      <c r="O562" s="162"/>
      <c r="P562" s="162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3"/>
      <c r="J563" s="214">
        <v>3715</v>
      </c>
      <c r="K563" s="162"/>
      <c r="L563" s="162"/>
      <c r="M563" s="162"/>
      <c r="N563" s="162"/>
      <c r="O563" s="162"/>
      <c r="P563" s="162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237</v>
      </c>
      <c r="E564" s="625"/>
      <c r="F564" s="625"/>
      <c r="G564" s="761"/>
      <c r="H564" s="763" t="s">
        <v>46</v>
      </c>
      <c r="I564" s="183"/>
      <c r="J564" s="214">
        <v>2117</v>
      </c>
      <c r="K564" s="162"/>
      <c r="L564" s="162"/>
      <c r="M564" s="162"/>
      <c r="N564" s="162"/>
      <c r="O564" s="162"/>
      <c r="P564" s="162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3"/>
      <c r="J565" s="214">
        <v>255</v>
      </c>
      <c r="K565" s="162"/>
      <c r="L565" s="162"/>
      <c r="M565" s="162"/>
      <c r="N565" s="162"/>
      <c r="O565" s="162"/>
      <c r="P565" s="162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238</v>
      </c>
      <c r="E566" s="625"/>
      <c r="F566" s="625"/>
      <c r="G566" s="761"/>
      <c r="H566" s="763" t="s">
        <v>46</v>
      </c>
      <c r="I566" s="183"/>
      <c r="J566" s="214">
        <v>809</v>
      </c>
      <c r="K566" s="162"/>
      <c r="L566" s="162"/>
      <c r="M566" s="162"/>
      <c r="N566" s="162"/>
      <c r="O566" s="162"/>
      <c r="P566" s="162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3"/>
      <c r="J567" s="214">
        <v>105</v>
      </c>
      <c r="K567" s="162"/>
      <c r="L567" s="162"/>
      <c r="M567" s="162"/>
      <c r="N567" s="162"/>
      <c r="O567" s="162"/>
      <c r="P567" s="162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239</v>
      </c>
      <c r="D568" s="625"/>
      <c r="E568" s="625"/>
      <c r="F568" s="625"/>
      <c r="G568" s="761"/>
      <c r="H568" s="766" t="s">
        <v>46</v>
      </c>
      <c r="I568" s="192">
        <f ca="1">IFERROR(__xludf.DUMMYFUNCTION("IMPORTRANGE(""https://docs.google.com/spreadsheets/d/1QqKyyYR6Q21VydFLVH3TRQUabQu_ym0Zz7PgGX0-kHA/edit?usp=sharing"",""แผน!HH86"")"),32464.1525)</f>
        <v>32464.1525</v>
      </c>
      <c r="J568" s="680">
        <f>J570+J572+J574</f>
        <v>32464</v>
      </c>
      <c r="K568" s="411">
        <f ca="1">IF(I568&gt;0,J568*100/I568,0)</f>
        <v>99.999530251097724</v>
      </c>
      <c r="L568" s="162"/>
      <c r="M568" s="162"/>
      <c r="N568" s="162"/>
      <c r="O568" s="162"/>
      <c r="P568" s="162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2">
        <f ca="1">IFERROR(__xludf.DUMMYFUNCTION("IMPORTRANGE(""https://docs.google.com/spreadsheets/d/1QqKyyYR6Q21VydFLVH3TRQUabQu_ym0Zz7PgGX0-kHA/edit?usp=sharing"",""แผน!HG86"")"),4075)</f>
        <v>4075</v>
      </c>
      <c r="J569" s="680">
        <f>J571+J573+J575</f>
        <v>4075</v>
      </c>
      <c r="K569" s="411">
        <f ca="1">IF(I569&gt;0,J569*100/I569,0)</f>
        <v>100</v>
      </c>
      <c r="L569" s="162"/>
      <c r="M569" s="162"/>
      <c r="N569" s="162"/>
      <c r="O569" s="162"/>
      <c r="P569" s="162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240</v>
      </c>
      <c r="E570" s="617"/>
      <c r="F570" s="625"/>
      <c r="G570" s="761"/>
      <c r="H570" s="763" t="s">
        <v>46</v>
      </c>
      <c r="I570" s="183"/>
      <c r="J570" s="214">
        <v>29664</v>
      </c>
      <c r="K570" s="162"/>
      <c r="L570" s="162"/>
      <c r="M570" s="162"/>
      <c r="N570" s="162"/>
      <c r="O570" s="162"/>
      <c r="P570" s="162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3"/>
      <c r="J571" s="214">
        <v>3730</v>
      </c>
      <c r="K571" s="162"/>
      <c r="L571" s="162"/>
      <c r="M571" s="162"/>
      <c r="N571" s="162"/>
      <c r="O571" s="162"/>
      <c r="P571" s="162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241</v>
      </c>
      <c r="E572" s="625"/>
      <c r="F572" s="625"/>
      <c r="G572" s="761"/>
      <c r="H572" s="763" t="s">
        <v>46</v>
      </c>
      <c r="I572" s="183"/>
      <c r="J572" s="214">
        <v>1977</v>
      </c>
      <c r="K572" s="162"/>
      <c r="L572" s="162"/>
      <c r="M572" s="162"/>
      <c r="N572" s="162"/>
      <c r="O572" s="162"/>
      <c r="P572" s="162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3"/>
      <c r="J573" s="214">
        <v>240</v>
      </c>
      <c r="K573" s="162"/>
      <c r="L573" s="162"/>
      <c r="M573" s="162"/>
      <c r="N573" s="162"/>
      <c r="O573" s="162"/>
      <c r="P573" s="162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242</v>
      </c>
      <c r="E574" s="625"/>
      <c r="F574" s="625"/>
      <c r="G574" s="761"/>
      <c r="H574" s="763" t="s">
        <v>46</v>
      </c>
      <c r="I574" s="183"/>
      <c r="J574" s="214">
        <v>823</v>
      </c>
      <c r="K574" s="162"/>
      <c r="L574" s="162"/>
      <c r="M574" s="162"/>
      <c r="N574" s="162"/>
      <c r="O574" s="162"/>
      <c r="P574" s="162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3"/>
      <c r="J575" s="214">
        <v>105</v>
      </c>
      <c r="K575" s="162"/>
      <c r="L575" s="162"/>
      <c r="M575" s="162"/>
      <c r="N575" s="162"/>
      <c r="O575" s="162"/>
      <c r="P575" s="162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243</v>
      </c>
      <c r="D576" s="617"/>
      <c r="E576" s="617"/>
      <c r="F576" s="625"/>
      <c r="G576" s="761"/>
      <c r="H576" s="766" t="s">
        <v>46</v>
      </c>
      <c r="I576" s="192">
        <f ca="1">IFERROR(__xludf.DUMMYFUNCTION("IMPORTRANGE(""https://docs.google.com/spreadsheets/d/1QqKyyYR6Q21VydFLVH3TRQUabQu_ym0Zz7PgGX0-kHA/edit?usp=sharing"",""แผน!HH86"")"),32464.1525)</f>
        <v>32464.1525</v>
      </c>
      <c r="J576" s="680">
        <f>J578+J580+J582+J588+J590</f>
        <v>32464.1525</v>
      </c>
      <c r="K576" s="411">
        <f ca="1">IF(I576&gt;0,J576*100/I576,0)</f>
        <v>100</v>
      </c>
      <c r="L576" s="162"/>
      <c r="M576" s="162"/>
      <c r="N576" s="162"/>
      <c r="O576" s="162"/>
      <c r="P576" s="162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2">
        <f ca="1">IFERROR(__xludf.DUMMYFUNCTION("IMPORTRANGE(""https://docs.google.com/spreadsheets/d/1QqKyyYR6Q21VydFLVH3TRQUabQu_ym0Zz7PgGX0-kHA/edit?usp=sharing"",""แผน!HG86"")"),4075)</f>
        <v>4075</v>
      </c>
      <c r="J577" s="680">
        <f>J579+J581+J583+J589+J591</f>
        <v>4075</v>
      </c>
      <c r="K577" s="411">
        <f ca="1">IF(I577&gt;0,J577*100/I577,0)</f>
        <v>100</v>
      </c>
      <c r="L577" s="162"/>
      <c r="M577" s="162"/>
      <c r="N577" s="162"/>
      <c r="O577" s="162"/>
      <c r="P577" s="162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244</v>
      </c>
      <c r="E578" s="625"/>
      <c r="F578" s="625"/>
      <c r="G578" s="761"/>
      <c r="H578" s="763" t="s">
        <v>46</v>
      </c>
      <c r="I578" s="183"/>
      <c r="J578" s="214">
        <v>30748.7925</v>
      </c>
      <c r="K578" s="162"/>
      <c r="L578" s="162"/>
      <c r="M578" s="162"/>
      <c r="N578" s="162"/>
      <c r="O578" s="162"/>
      <c r="P578" s="162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3"/>
      <c r="J579" s="214">
        <v>3861</v>
      </c>
      <c r="K579" s="162"/>
      <c r="L579" s="162"/>
      <c r="M579" s="162"/>
      <c r="N579" s="162"/>
      <c r="O579" s="162"/>
      <c r="P579" s="162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245</v>
      </c>
      <c r="E580" s="625"/>
      <c r="F580" s="625"/>
      <c r="G580" s="761"/>
      <c r="H580" s="763" t="s">
        <v>46</v>
      </c>
      <c r="I580" s="183"/>
      <c r="J580" s="214">
        <v>17.535</v>
      </c>
      <c r="K580" s="162"/>
      <c r="L580" s="162"/>
      <c r="M580" s="162"/>
      <c r="N580" s="162"/>
      <c r="O580" s="162"/>
      <c r="P580" s="162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3"/>
      <c r="J581" s="214">
        <v>3</v>
      </c>
      <c r="K581" s="162"/>
      <c r="L581" s="162"/>
      <c r="M581" s="162"/>
      <c r="N581" s="162"/>
      <c r="O581" s="162"/>
      <c r="P581" s="162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246</v>
      </c>
      <c r="E582" s="625"/>
      <c r="F582" s="625"/>
      <c r="G582" s="761"/>
      <c r="H582" s="763" t="s">
        <v>46</v>
      </c>
      <c r="I582" s="183"/>
      <c r="J582" s="680">
        <f>J584+J586</f>
        <v>863.73749999999995</v>
      </c>
      <c r="K582" s="411"/>
      <c r="L582" s="162"/>
      <c r="M582" s="162"/>
      <c r="N582" s="162"/>
      <c r="O582" s="162"/>
      <c r="P582" s="162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3"/>
      <c r="J583" s="680">
        <f>J585+J587</f>
        <v>104</v>
      </c>
      <c r="K583" s="411"/>
      <c r="L583" s="162"/>
      <c r="M583" s="162"/>
      <c r="N583" s="162"/>
      <c r="O583" s="162"/>
      <c r="P583" s="162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247</v>
      </c>
      <c r="F584" s="625"/>
      <c r="G584" s="761"/>
      <c r="H584" s="763" t="s">
        <v>46</v>
      </c>
      <c r="I584" s="183"/>
      <c r="J584" s="214">
        <v>863.73749999999995</v>
      </c>
      <c r="K584" s="162"/>
      <c r="L584" s="162"/>
      <c r="M584" s="162"/>
      <c r="N584" s="162"/>
      <c r="O584" s="162"/>
      <c r="P584" s="162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3"/>
      <c r="J585" s="214">
        <v>104</v>
      </c>
      <c r="K585" s="162"/>
      <c r="L585" s="162"/>
      <c r="M585" s="162"/>
      <c r="N585" s="162"/>
      <c r="O585" s="162"/>
      <c r="P585" s="162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248</v>
      </c>
      <c r="F586" s="625"/>
      <c r="G586" s="761"/>
      <c r="H586" s="763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249</v>
      </c>
      <c r="E588" s="625"/>
      <c r="F588" s="625"/>
      <c r="G588" s="761"/>
      <c r="H588" s="763" t="s">
        <v>46</v>
      </c>
      <c r="I588" s="183"/>
      <c r="J588" s="214">
        <v>834.08749999999998</v>
      </c>
      <c r="K588" s="162"/>
      <c r="L588" s="162"/>
      <c r="M588" s="162"/>
      <c r="N588" s="162"/>
      <c r="O588" s="162"/>
      <c r="P588" s="162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3"/>
      <c r="J589" s="214">
        <v>107</v>
      </c>
      <c r="K589" s="162"/>
      <c r="L589" s="162"/>
      <c r="M589" s="162"/>
      <c r="N589" s="162"/>
      <c r="O589" s="162"/>
      <c r="P589" s="162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250</v>
      </c>
      <c r="E590" s="625"/>
      <c r="F590" s="625"/>
      <c r="G590" s="761"/>
      <c r="H590" s="763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251</v>
      </c>
      <c r="C592" s="693"/>
      <c r="D592" s="693"/>
      <c r="E592" s="672"/>
      <c r="F592" s="672"/>
      <c r="G592" s="673"/>
      <c r="H592" s="694" t="s">
        <v>46</v>
      </c>
      <c r="I592" s="702">
        <f ca="1">I593</f>
        <v>414.26</v>
      </c>
      <c r="J592" s="707">
        <f>J593</f>
        <v>414.26</v>
      </c>
      <c r="K592" s="676">
        <f ca="1">IF(I592&gt;0,J592*100/I592,0)</f>
        <v>100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252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IFERROR(__xludf.DUMMYFUNCTION("IMPORTRANGE(""https://docs.google.com/spreadsheets/d/1QqKyyYR6Q21VydFLVH3TRQUabQu_ym0Zz7PgGX0-kHA/edit?usp=sharing"",""แผน!HJ86"")"),414.26)</f>
        <v>414.26</v>
      </c>
      <c r="J593" s="192">
        <f>J595+J603+J609</f>
        <v>414.26</v>
      </c>
      <c r="K593" s="411">
        <f ca="1">IF(I593&gt;0,J593*100/I593,0)</f>
        <v>100</v>
      </c>
      <c r="L593" s="162"/>
      <c r="M593" s="162"/>
      <c r="N593" s="162"/>
      <c r="O593" s="162"/>
      <c r="P593" s="162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2">
        <f ca="1">IFERROR(__xludf.DUMMYFUNCTION("IMPORTRANGE(""https://docs.google.com/spreadsheets/d/1QqKyyYR6Q21VydFLVH3TRQUabQu_ym0Zz7PgGX0-kHA/edit?usp=sharing"",""แผน!HI86"")"),47)</f>
        <v>47</v>
      </c>
      <c r="J594" s="192">
        <f>J596+J604+J610</f>
        <v>47</v>
      </c>
      <c r="K594" s="411">
        <f ca="1">IF(I594&gt;0,J594*100/I594,0)</f>
        <v>100</v>
      </c>
      <c r="L594" s="162"/>
      <c r="M594" s="162"/>
      <c r="N594" s="162"/>
      <c r="O594" s="162"/>
      <c r="P594" s="162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253</v>
      </c>
      <c r="D595" s="617"/>
      <c r="E595" s="617"/>
      <c r="F595" s="625"/>
      <c r="G595" s="761"/>
      <c r="H595" s="763" t="s">
        <v>46</v>
      </c>
      <c r="I595" s="183"/>
      <c r="J595" s="183">
        <f>J597+J599</f>
        <v>413.26</v>
      </c>
      <c r="K595" s="162"/>
      <c r="L595" s="162"/>
      <c r="M595" s="162"/>
      <c r="N595" s="162"/>
      <c r="O595" s="162"/>
      <c r="P595" s="162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3"/>
      <c r="J596" s="183">
        <f>J598+J600</f>
        <v>46</v>
      </c>
      <c r="K596" s="162"/>
      <c r="L596" s="162"/>
      <c r="M596" s="162"/>
      <c r="N596" s="162"/>
      <c r="O596" s="162"/>
      <c r="P596" s="162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254</v>
      </c>
      <c r="E597" s="625"/>
      <c r="F597" s="625"/>
      <c r="G597" s="761"/>
      <c r="H597" s="763" t="s">
        <v>46</v>
      </c>
      <c r="I597" s="183"/>
      <c r="J597" s="214">
        <v>413.26</v>
      </c>
      <c r="K597" s="162"/>
      <c r="L597" s="162"/>
      <c r="M597" s="162"/>
      <c r="N597" s="162"/>
      <c r="O597" s="162"/>
      <c r="P597" s="162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69"/>
      <c r="J598" s="214">
        <v>46</v>
      </c>
      <c r="K598" s="162"/>
      <c r="L598" s="162"/>
      <c r="M598" s="162"/>
      <c r="N598" s="162"/>
      <c r="O598" s="162"/>
      <c r="P598" s="162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255</v>
      </c>
      <c r="E599" s="625"/>
      <c r="F599" s="625"/>
      <c r="G599" s="761"/>
      <c r="H599" s="763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256</v>
      </c>
      <c r="E601" s="625"/>
      <c r="F601" s="625"/>
      <c r="G601" s="761"/>
      <c r="H601" s="763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257</v>
      </c>
      <c r="D603" s="617"/>
      <c r="E603" s="617"/>
      <c r="F603" s="625"/>
      <c r="G603" s="761"/>
      <c r="H603" s="763" t="s">
        <v>46</v>
      </c>
      <c r="I603" s="269"/>
      <c r="J603" s="269">
        <f>J605+J607</f>
        <v>1</v>
      </c>
      <c r="K603" s="162"/>
      <c r="L603" s="162"/>
      <c r="M603" s="162"/>
      <c r="N603" s="162"/>
      <c r="O603" s="162"/>
      <c r="P603" s="162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69"/>
      <c r="J604" s="269">
        <f>J606+J608</f>
        <v>1</v>
      </c>
      <c r="K604" s="162"/>
      <c r="L604" s="162"/>
      <c r="M604" s="162"/>
      <c r="N604" s="162"/>
      <c r="O604" s="162"/>
      <c r="P604" s="162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258</v>
      </c>
      <c r="E605" s="625"/>
      <c r="F605" s="625"/>
      <c r="G605" s="761"/>
      <c r="H605" s="763" t="s">
        <v>46</v>
      </c>
      <c r="I605" s="269"/>
      <c r="J605" s="214">
        <v>1</v>
      </c>
      <c r="K605" s="162"/>
      <c r="L605" s="162"/>
      <c r="M605" s="162"/>
      <c r="N605" s="162"/>
      <c r="O605" s="162"/>
      <c r="P605" s="162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69"/>
      <c r="J606" s="214">
        <v>1</v>
      </c>
      <c r="K606" s="162"/>
      <c r="L606" s="162"/>
      <c r="M606" s="162"/>
      <c r="N606" s="162"/>
      <c r="O606" s="162"/>
      <c r="P606" s="162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259</v>
      </c>
      <c r="E607" s="617"/>
      <c r="F607" s="625"/>
      <c r="G607" s="761"/>
      <c r="H607" s="763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260</v>
      </c>
      <c r="D609" s="617"/>
      <c r="E609" s="617"/>
      <c r="F609" s="625"/>
      <c r="G609" s="761"/>
      <c r="H609" s="763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1"/>
      <c r="B611" s="705" t="s">
        <v>261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262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>J614+J616</f>
        <v>0</v>
      </c>
      <c r="K612" s="716">
        <f>IF(I612&gt;0,J612*100/I612,0)</f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263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>J615+J617</f>
        <v>0</v>
      </c>
      <c r="K613" s="716">
        <f>IF(I613&gt;0,J613*100/I613,0)</f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264</v>
      </c>
      <c r="E614" s="615"/>
      <c r="F614" s="719"/>
      <c r="G614" s="365"/>
      <c r="H614" s="369" t="s">
        <v>46</v>
      </c>
      <c r="I614" s="616"/>
      <c r="J614" s="616">
        <v>0</v>
      </c>
      <c r="K614" s="166"/>
      <c r="L614" s="166"/>
      <c r="M614" s="166"/>
      <c r="N614" s="166"/>
      <c r="O614" s="166"/>
      <c r="P614" s="166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5"/>
      <c r="H615" s="369" t="s">
        <v>34</v>
      </c>
      <c r="I615" s="616"/>
      <c r="J615" s="616">
        <v>0</v>
      </c>
      <c r="K615" s="166"/>
      <c r="L615" s="166"/>
      <c r="M615" s="166"/>
      <c r="N615" s="166"/>
      <c r="O615" s="166"/>
      <c r="P615" s="166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264</v>
      </c>
      <c r="E616" s="719"/>
      <c r="F616" s="719"/>
      <c r="G616" s="365"/>
      <c r="H616" s="369" t="s">
        <v>46</v>
      </c>
      <c r="I616" s="616"/>
      <c r="J616" s="616">
        <v>0</v>
      </c>
      <c r="K616" s="166"/>
      <c r="L616" s="166"/>
      <c r="M616" s="166"/>
      <c r="N616" s="166"/>
      <c r="O616" s="166"/>
      <c r="P616" s="166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5"/>
      <c r="H617" s="369" t="s">
        <v>34</v>
      </c>
      <c r="I617" s="616"/>
      <c r="J617" s="616">
        <v>0</v>
      </c>
      <c r="K617" s="166"/>
      <c r="L617" s="166"/>
      <c r="M617" s="166"/>
      <c r="N617" s="166"/>
      <c r="O617" s="166"/>
      <c r="P617" s="166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265</v>
      </c>
      <c r="E618" s="719"/>
      <c r="F618" s="719"/>
      <c r="G618" s="365"/>
      <c r="H618" s="369" t="s">
        <v>46</v>
      </c>
      <c r="I618" s="616"/>
      <c r="J618" s="616">
        <v>0</v>
      </c>
      <c r="K618" s="166"/>
      <c r="L618" s="166"/>
      <c r="M618" s="166"/>
      <c r="N618" s="166"/>
      <c r="O618" s="166"/>
      <c r="P618" s="166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5"/>
      <c r="H619" s="369" t="s">
        <v>34</v>
      </c>
      <c r="I619" s="616"/>
      <c r="J619" s="616">
        <v>0</v>
      </c>
      <c r="K619" s="166"/>
      <c r="L619" s="166"/>
      <c r="M619" s="166"/>
      <c r="N619" s="166"/>
      <c r="O619" s="166"/>
      <c r="P619" s="166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1"/>
      <c r="B620" s="730"/>
      <c r="C620" s="723" t="s">
        <v>266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IFERROR(__xludf.DUMMYFUNCTION("IMPORTRANGE(""https://docs.google.com/spreadsheets/d/1QqKyyYR6Q21VydFLVH3TRQUabQu_ym0Zz7PgGX0-kHA/edit?usp=sharing"",""แผน!HL86"")"),140)</f>
        <v>140</v>
      </c>
      <c r="J620" s="727">
        <f>J622+J624+J626</f>
        <v>140</v>
      </c>
      <c r="K620" s="728">
        <f ca="1">IF(I620&gt;0,J620*100/I620,0)</f>
        <v>100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1"/>
      <c r="B621" s="730"/>
      <c r="C621" s="730" t="s">
        <v>267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IFERROR(__xludf.DUMMYFUNCTION("IMPORTRANGE(""https://docs.google.com/spreadsheets/d/1QqKyyYR6Q21VydFLVH3TRQUabQu_ym0Zz7PgGX0-kHA/edit?usp=sharing"",""แผน!HK86"")"),17)</f>
        <v>17</v>
      </c>
      <c r="J621" s="727">
        <f>J623+J625+J627</f>
        <v>17</v>
      </c>
      <c r="K621" s="728">
        <f ca="1">IF(I621&gt;0,J621*100/I621,0)</f>
        <v>100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5" t="s">
        <v>268</v>
      </c>
      <c r="E622" s="625"/>
      <c r="F622" s="625"/>
      <c r="G622" s="761"/>
      <c r="H622" s="763" t="s">
        <v>46</v>
      </c>
      <c r="I622" s="269"/>
      <c r="J622" s="214">
        <v>140</v>
      </c>
      <c r="K622" s="162"/>
      <c r="L622" s="162"/>
      <c r="M622" s="162"/>
      <c r="N622" s="162"/>
      <c r="O622" s="162"/>
      <c r="P622" s="162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69"/>
      <c r="J623" s="214">
        <v>17</v>
      </c>
      <c r="K623" s="162"/>
      <c r="L623" s="162"/>
      <c r="M623" s="162"/>
      <c r="N623" s="162"/>
      <c r="O623" s="162"/>
      <c r="P623" s="162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5" t="s">
        <v>264</v>
      </c>
      <c r="E624" s="625"/>
      <c r="F624" s="625"/>
      <c r="G624" s="761"/>
      <c r="H624" s="763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5" t="s">
        <v>269</v>
      </c>
      <c r="E626" s="625"/>
      <c r="F626" s="625"/>
      <c r="G626" s="761"/>
      <c r="H626" s="763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1"/>
      <c r="B627" s="732"/>
      <c r="C627" s="732"/>
      <c r="D627" s="732"/>
      <c r="E627" s="733"/>
      <c r="F627" s="733"/>
      <c r="G627" s="734"/>
      <c r="H627" s="422" t="s">
        <v>34</v>
      </c>
      <c r="I627" s="505"/>
      <c r="J627" s="424">
        <v>0</v>
      </c>
      <c r="K627" s="384"/>
      <c r="L627" s="384"/>
      <c r="M627" s="384"/>
      <c r="N627" s="384"/>
      <c r="O627" s="384"/>
      <c r="P627" s="384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270</v>
      </c>
      <c r="C628" s="737"/>
      <c r="D628" s="737"/>
      <c r="E628" s="737"/>
      <c r="F628" s="737"/>
      <c r="G628" s="738"/>
      <c r="H628" s="739" t="s">
        <v>35</v>
      </c>
      <c r="I628" s="740">
        <f ca="1">I651</f>
        <v>100</v>
      </c>
      <c r="J628" s="740">
        <f ca="1">J651</f>
        <v>103</v>
      </c>
      <c r="K628" s="741">
        <f ca="1">IF(I628&gt;0,J628*100/I628,0)</f>
        <v>103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887" t="s">
        <v>17</v>
      </c>
      <c r="E629" s="888"/>
      <c r="F629" s="888"/>
      <c r="G629" s="188"/>
      <c r="H629" s="597" t="s">
        <v>12</v>
      </c>
      <c r="I629" s="269"/>
      <c r="J629" s="269"/>
      <c r="K629" s="497"/>
      <c r="L629" s="194">
        <f ca="1">L630+L631</f>
        <v>368255</v>
      </c>
      <c r="M629" s="194">
        <f ca="1">M630+M631</f>
        <v>293161</v>
      </c>
      <c r="N629" s="194">
        <f>N630+N631</f>
        <v>293161</v>
      </c>
      <c r="O629" s="194">
        <f t="shared" ref="O629:O634" ca="1" si="90">IF(L629&gt;0,N629*100/L629,0)</f>
        <v>79.608151959919084</v>
      </c>
      <c r="P629" s="194">
        <f t="shared" ref="P629:P634" ca="1" si="91">IF(M629&gt;0,N629*100/M629,0)</f>
        <v>100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184</v>
      </c>
      <c r="F630" s="758"/>
      <c r="G630" s="602"/>
      <c r="H630" s="164" t="s">
        <v>12</v>
      </c>
      <c r="I630" s="616"/>
      <c r="J630" s="616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185</v>
      </c>
      <c r="F631" s="758"/>
      <c r="G631" s="602"/>
      <c r="H631" s="164" t="s">
        <v>12</v>
      </c>
      <c r="I631" s="616"/>
      <c r="J631" s="616"/>
      <c r="K631" s="92"/>
      <c r="L631" s="92">
        <f t="shared" ca="1" si="92"/>
        <v>368255</v>
      </c>
      <c r="M631" s="92">
        <f t="shared" ca="1" si="92"/>
        <v>293161</v>
      </c>
      <c r="N631" s="92">
        <f t="shared" si="92"/>
        <v>293161</v>
      </c>
      <c r="O631" s="92">
        <f t="shared" ca="1" si="90"/>
        <v>79.608151959919084</v>
      </c>
      <c r="P631" s="92">
        <f t="shared" ca="1" si="91"/>
        <v>100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8"/>
      <c r="H632" s="160" t="s">
        <v>12</v>
      </c>
      <c r="I632" s="183"/>
      <c r="J632" s="183"/>
      <c r="K632" s="162"/>
      <c r="L632" s="497">
        <f ca="1">L633+L634</f>
        <v>368255</v>
      </c>
      <c r="M632" s="497">
        <f ca="1">M633+M634</f>
        <v>293161</v>
      </c>
      <c r="N632" s="497">
        <f>N633+N634</f>
        <v>293161</v>
      </c>
      <c r="O632" s="497">
        <f t="shared" ca="1" si="90"/>
        <v>79.608151959919084</v>
      </c>
      <c r="P632" s="497">
        <f t="shared" ca="1" si="91"/>
        <v>100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184</v>
      </c>
      <c r="F633" s="758"/>
      <c r="G633" s="602"/>
      <c r="H633" s="164" t="s">
        <v>12</v>
      </c>
      <c r="I633" s="616"/>
      <c r="J633" s="616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185</v>
      </c>
      <c r="F634" s="758"/>
      <c r="G634" s="602"/>
      <c r="H634" s="164" t="s">
        <v>12</v>
      </c>
      <c r="I634" s="616"/>
      <c r="J634" s="616"/>
      <c r="K634" s="92"/>
      <c r="L634" s="92">
        <f ca="1">IFERROR(__xludf.DUMMYFUNCTION("IMPORTRANGE(""https://docs.google.com/spreadsheets/d/1QqKyyYR6Q21VydFLVH3TRQUabQu_ym0Zz7PgGX0-kHA/edit?usp=sharing"",""แผน!HN86"")"),368255)</f>
        <v>368255</v>
      </c>
      <c r="M634" s="92">
        <f ca="1">L634-75094</f>
        <v>293161</v>
      </c>
      <c r="N634" s="92">
        <f>N635+N636+N637+N638</f>
        <v>293161</v>
      </c>
      <c r="O634" s="92">
        <f t="shared" ca="1" si="90"/>
        <v>79.608151959919084</v>
      </c>
      <c r="P634" s="92">
        <f t="shared" ca="1" si="91"/>
        <v>100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826">
        <v>0</v>
      </c>
      <c r="O635" s="497"/>
      <c r="P635" s="497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826">
        <v>0</v>
      </c>
      <c r="O636" s="497"/>
      <c r="P636" s="497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826">
        <v>142566</v>
      </c>
      <c r="O637" s="497"/>
      <c r="P637" s="497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826">
        <v>150595</v>
      </c>
      <c r="O638" s="497"/>
      <c r="P638" s="497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IFERROR(__xludf.DUMMYFUNCTION("IMPORTRANGE(""https://docs.google.com/spreadsheets/d/1QqKyyYR6Q21VydFLVH3TRQUabQu_ym0Zz7PgGX0-kHA/edit?usp=sharing"",""แผน!HQ86"")"),0)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41" t="s">
        <v>38</v>
      </c>
      <c r="E642" s="760"/>
      <c r="F642" s="760"/>
      <c r="G642" s="612"/>
      <c r="H642" s="761"/>
      <c r="I642" s="183"/>
      <c r="J642" s="183"/>
      <c r="K642" s="162"/>
      <c r="L642" s="162"/>
      <c r="M642" s="162"/>
      <c r="N642" s="162"/>
      <c r="O642" s="162"/>
      <c r="P642" s="162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271</v>
      </c>
      <c r="F643" s="625"/>
      <c r="G643" s="761"/>
      <c r="H643" s="763" t="s">
        <v>272</v>
      </c>
      <c r="I643" s="269">
        <f ca="1">IFERROR(__xludf.DUMMYFUNCTION("IMPORTRANGE(""https://docs.google.com/spreadsheets/d/1QqKyyYR6Q21VydFLVH3TRQUabQu_ym0Zz7PgGX0-kHA/edit?usp=sharing"",""แผน!HR86"")"),0)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273</v>
      </c>
      <c r="F644" s="625"/>
      <c r="G644" s="761"/>
      <c r="H644" s="763" t="s">
        <v>274</v>
      </c>
      <c r="I644" s="269">
        <f ca="1">IFERROR(__xludf.DUMMYFUNCTION("IMPORTRANGE(""https://docs.google.com/spreadsheets/d/1QqKyyYR6Q21VydFLVH3TRQUabQu_ym0Zz7PgGX0-kHA/edit?usp=sharing"",""แผน!HR86"")"),0)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275</v>
      </c>
      <c r="F645" s="625"/>
      <c r="G645" s="761"/>
      <c r="H645" s="763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IFERROR(__xludf.DUMMYFUNCTION("IMPORTRANGE(""https://docs.google.com/spreadsheets/d/1XWAQStnk-4SwqDmLtmXYiTMKHgktTP8We1SCoS47DrQ/edit?usp=sharing"",""จัดที่ดิน!AS86"")"),0)</f>
        <v>0</v>
      </c>
      <c r="K645" s="162">
        <f t="shared" si="93"/>
        <v>0</v>
      </c>
      <c r="L645" s="162"/>
      <c r="M645" s="162"/>
      <c r="N645" s="497"/>
      <c r="O645" s="162"/>
      <c r="P645" s="162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IFERROR(__xludf.DUMMYFUNCTION("IMPORTRANGE(""https://docs.google.com/spreadsheets/d/1XWAQStnk-4SwqDmLtmXYiTMKHgktTP8We1SCoS47DrQ/edit?usp=sharing"",""จัดที่ดิน!AT86"")"),0)</f>
        <v>0</v>
      </c>
      <c r="K646" s="497">
        <f t="shared" si="93"/>
        <v>0</v>
      </c>
      <c r="L646" s="162"/>
      <c r="M646" s="162"/>
      <c r="N646" s="497"/>
      <c r="O646" s="162"/>
      <c r="P646" s="162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69">
        <f ca="1">IFERROR(__xludf.DUMMYFUNCTION("IMPORTRANGE(""https://docs.google.com/spreadsheets/d/1QqKyyYR6Q21VydFLVH3TRQUabQu_ym0Zz7PgGX0-kHA/edit?usp=sharing"",""แผน!HS86"")"),100)</f>
        <v>100</v>
      </c>
      <c r="J647" s="269">
        <f ca="1">IFERROR(__xludf.DUMMYFUNCTION("IMPORTRANGE(""https://docs.google.com/spreadsheets/d/1XWAQStnk-4SwqDmLtmXYiTMKHgktTP8We1SCoS47DrQ/edit?usp=sharing"",""จัดที่ดิน!AU86"")"),104)</f>
        <v>104</v>
      </c>
      <c r="K647" s="162">
        <f t="shared" ca="1" si="93"/>
        <v>104</v>
      </c>
      <c r="L647" s="162"/>
      <c r="M647" s="162"/>
      <c r="N647" s="162"/>
      <c r="O647" s="162"/>
      <c r="P647" s="162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IFERROR(__xludf.DUMMYFUNCTION("IMPORTRANGE(""https://docs.google.com/spreadsheets/d/1XWAQStnk-4SwqDmLtmXYiTMKHgktTP8We1SCoS47DrQ/edit?usp=sharing"",""จัดที่ดิน!AV86"")"),28.26)</f>
        <v>28.26</v>
      </c>
      <c r="K648" s="497">
        <f t="shared" si="93"/>
        <v>0</v>
      </c>
      <c r="L648" s="162"/>
      <c r="M648" s="162"/>
      <c r="N648" s="162"/>
      <c r="O648" s="162"/>
      <c r="P648" s="162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276</v>
      </c>
      <c r="F649" s="625"/>
      <c r="G649" s="761"/>
      <c r="H649" s="763" t="s">
        <v>35</v>
      </c>
      <c r="I649" s="269">
        <f ca="1">IFERROR(__xludf.DUMMYFUNCTION("IMPORTRANGE(""https://docs.google.com/spreadsheets/d/1QqKyyYR6Q21VydFLVH3TRQUabQu_ym0Zz7PgGX0-kHA/edit?usp=sharing"",""แผน!HS86"")"),100)</f>
        <v>100</v>
      </c>
      <c r="J649" s="269">
        <f ca="1">IFERROR(__xludf.DUMMYFUNCTION("IMPORTRANGE(""https://docs.google.com/spreadsheets/d/1XWAQStnk-4SwqDmLtmXYiTMKHgktTP8We1SCoS47DrQ/edit?usp=sharing"",""จัดที่ดิน!AW86"")"),104)</f>
        <v>104</v>
      </c>
      <c r="K649" s="162">
        <f t="shared" ca="1" si="93"/>
        <v>104</v>
      </c>
      <c r="L649" s="162"/>
      <c r="M649" s="162"/>
      <c r="N649" s="162"/>
      <c r="O649" s="162"/>
      <c r="P649" s="162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IFERROR(__xludf.DUMMYFUNCTION("IMPORTRANGE(""https://docs.google.com/spreadsheets/d/1XWAQStnk-4SwqDmLtmXYiTMKHgktTP8We1SCoS47DrQ/edit?usp=sharing"",""จัดที่ดิน!AX86"")"),28.26)</f>
        <v>28.26</v>
      </c>
      <c r="K650" s="497">
        <f t="shared" si="93"/>
        <v>0</v>
      </c>
      <c r="L650" s="162"/>
      <c r="M650" s="162"/>
      <c r="N650" s="162"/>
      <c r="O650" s="162"/>
      <c r="P650" s="162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277</v>
      </c>
      <c r="F651" s="625"/>
      <c r="G651" s="761"/>
      <c r="H651" s="763" t="s">
        <v>35</v>
      </c>
      <c r="I651" s="269">
        <f ca="1">IFERROR(__xludf.DUMMYFUNCTION("IMPORTRANGE(""https://docs.google.com/spreadsheets/d/1QqKyyYR6Q21VydFLVH3TRQUabQu_ym0Zz7PgGX0-kHA/edit?usp=sharing"",""แผน!HS86"")"),100)</f>
        <v>100</v>
      </c>
      <c r="J651" s="269">
        <f ca="1">IFERROR(__xludf.DUMMYFUNCTION("IMPORTRANGE(""https://docs.google.com/spreadsheets/d/1XWAQStnk-4SwqDmLtmXYiTMKHgktTP8We1SCoS47DrQ/edit?usp=sharing"",""จัดที่ดิน!AY86"")"),103)</f>
        <v>103</v>
      </c>
      <c r="K651" s="162">
        <f t="shared" ca="1" si="93"/>
        <v>103</v>
      </c>
      <c r="L651" s="162"/>
      <c r="M651" s="162"/>
      <c r="N651" s="162"/>
      <c r="O651" s="162"/>
      <c r="P651" s="162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IFERROR(__xludf.DUMMYFUNCTION("IMPORTRANGE(""https://docs.google.com/spreadsheets/d/1XWAQStnk-4SwqDmLtmXYiTMKHgktTP8We1SCoS47DrQ/edit?usp=sharing"",""จัดที่ดิน!AZ86"")"),27.91)</f>
        <v>27.91</v>
      </c>
      <c r="K652" s="506">
        <f t="shared" si="93"/>
        <v>0</v>
      </c>
      <c r="L652" s="384"/>
      <c r="M652" s="384"/>
      <c r="N652" s="384"/>
      <c r="O652" s="384"/>
      <c r="P652" s="384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278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279</v>
      </c>
      <c r="C654" s="672"/>
      <c r="D654" s="672"/>
      <c r="E654" s="672"/>
      <c r="F654" s="672"/>
      <c r="G654" s="673"/>
      <c r="H654" s="706" t="s">
        <v>46</v>
      </c>
      <c r="I654" s="707">
        <f ca="1">I669</f>
        <v>50</v>
      </c>
      <c r="J654" s="707">
        <f>J669</f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887" t="s">
        <v>17</v>
      </c>
      <c r="E655" s="888"/>
      <c r="F655" s="888"/>
      <c r="G655" s="188"/>
      <c r="H655" s="597" t="s">
        <v>12</v>
      </c>
      <c r="I655" s="269"/>
      <c r="J655" s="269"/>
      <c r="K655" s="497"/>
      <c r="L655" s="194">
        <f ca="1">L656+L657</f>
        <v>12600</v>
      </c>
      <c r="M655" s="194">
        <f ca="1">M656+M657</f>
        <v>8141</v>
      </c>
      <c r="N655" s="194">
        <f>N656+N657</f>
        <v>8141</v>
      </c>
      <c r="O655" s="194">
        <f t="shared" ref="O655:O660" ca="1" si="94">IF(L655&gt;0,N655*100/L655,0)</f>
        <v>64.611111111111114</v>
      </c>
      <c r="P655" s="194">
        <f t="shared" ref="P655:P660" ca="1" si="95">IF(M655&gt;0,N655*100/M655,0)</f>
        <v>100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184</v>
      </c>
      <c r="F656" s="758"/>
      <c r="G656" s="602"/>
      <c r="H656" s="164" t="s">
        <v>12</v>
      </c>
      <c r="I656" s="616"/>
      <c r="J656" s="616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185</v>
      </c>
      <c r="F657" s="758"/>
      <c r="G657" s="602"/>
      <c r="H657" s="164" t="s">
        <v>12</v>
      </c>
      <c r="I657" s="616"/>
      <c r="J657" s="616"/>
      <c r="K657" s="92"/>
      <c r="L657" s="92">
        <f t="shared" ca="1" si="96"/>
        <v>12600</v>
      </c>
      <c r="M657" s="92">
        <f t="shared" ca="1" si="96"/>
        <v>8141</v>
      </c>
      <c r="N657" s="92">
        <f t="shared" si="96"/>
        <v>8141</v>
      </c>
      <c r="O657" s="92">
        <f t="shared" ca="1" si="94"/>
        <v>64.611111111111114</v>
      </c>
      <c r="P657" s="92">
        <f t="shared" ca="1" si="95"/>
        <v>100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8"/>
      <c r="H658" s="160" t="s">
        <v>12</v>
      </c>
      <c r="I658" s="183"/>
      <c r="J658" s="183"/>
      <c r="K658" s="162"/>
      <c r="L658" s="497">
        <f ca="1">L659+L660</f>
        <v>12600</v>
      </c>
      <c r="M658" s="497">
        <f ca="1">M659+M660</f>
        <v>8141</v>
      </c>
      <c r="N658" s="497">
        <f>N659+N660</f>
        <v>8141</v>
      </c>
      <c r="O658" s="497">
        <f t="shared" ca="1" si="94"/>
        <v>64.611111111111114</v>
      </c>
      <c r="P658" s="497">
        <f t="shared" ca="1" si="95"/>
        <v>100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184</v>
      </c>
      <c r="F659" s="758"/>
      <c r="G659" s="602"/>
      <c r="H659" s="164" t="s">
        <v>12</v>
      </c>
      <c r="I659" s="616"/>
      <c r="J659" s="616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185</v>
      </c>
      <c r="F660" s="758"/>
      <c r="G660" s="602"/>
      <c r="H660" s="164" t="s">
        <v>12</v>
      </c>
      <c r="I660" s="616"/>
      <c r="J660" s="616"/>
      <c r="K660" s="92"/>
      <c r="L660" s="92">
        <f ca="1">IFERROR(__xludf.DUMMYFUNCTION("IMPORTRANGE(""https://docs.google.com/spreadsheets/d/1QqKyyYR6Q21VydFLVH3TRQUabQu_ym0Zz7PgGX0-kHA/edit?usp=sharing"",""แผน!HV86"")"),12600)</f>
        <v>12600</v>
      </c>
      <c r="M660" s="92">
        <f ca="1">L660-4459</f>
        <v>8141</v>
      </c>
      <c r="N660" s="92">
        <f>N661+N662+N663+N664</f>
        <v>8141</v>
      </c>
      <c r="O660" s="92">
        <f t="shared" ca="1" si="94"/>
        <v>64.611111111111114</v>
      </c>
      <c r="P660" s="92">
        <f t="shared" ca="1" si="95"/>
        <v>100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826">
        <v>0</v>
      </c>
      <c r="O661" s="497"/>
      <c r="P661" s="497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826">
        <v>0</v>
      </c>
      <c r="O662" s="497"/>
      <c r="P662" s="497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826">
        <v>0</v>
      </c>
      <c r="O663" s="497"/>
      <c r="P663" s="497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826">
        <v>8141</v>
      </c>
      <c r="O664" s="497"/>
      <c r="P664" s="497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40" t="s">
        <v>38</v>
      </c>
      <c r="E668" s="760"/>
      <c r="F668" s="760"/>
      <c r="G668" s="612"/>
      <c r="H668" s="761"/>
      <c r="I668" s="183"/>
      <c r="J668" s="183"/>
      <c r="K668" s="162"/>
      <c r="L668" s="162"/>
      <c r="M668" s="162"/>
      <c r="N668" s="162"/>
      <c r="O668" s="162"/>
      <c r="P668" s="162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280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IFERROR(__xludf.DUMMYFUNCTION("IMPORTRANGE(""https://docs.google.com/spreadsheets/d/1QqKyyYR6Q21VydFLVH3TRQUabQu_ym0Zz7PgGX0-kHA/edit?usp=sharing"",""แผน!IA86"")"),50)</f>
        <v>50</v>
      </c>
      <c r="J669" s="680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281</v>
      </c>
      <c r="F670" s="625"/>
      <c r="G670" s="761"/>
      <c r="H670" s="763" t="s">
        <v>66</v>
      </c>
      <c r="I670" s="269">
        <f ca="1">IFERROR(__xludf.DUMMYFUNCTION("IMPORTRANGE(""https://docs.google.com/spreadsheets/d/1QqKyyYR6Q21VydFLVH3TRQUabQu_ym0Zz7PgGX0-kHA/edit?usp=sharing"",""แผน!HZ86"")"),6)</f>
        <v>6</v>
      </c>
      <c r="J670" s="214">
        <v>6</v>
      </c>
      <c r="K670" s="497">
        <f ca="1">IF(I670&gt;0,(J670*100)/I670,0)</f>
        <v>100</v>
      </c>
      <c r="L670" s="162"/>
      <c r="M670" s="162"/>
      <c r="N670" s="162"/>
      <c r="O670" s="162"/>
      <c r="P670" s="162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282</v>
      </c>
      <c r="F671" s="625"/>
      <c r="G671" s="761"/>
      <c r="H671" s="763" t="s">
        <v>66</v>
      </c>
      <c r="I671" s="269">
        <f ca="1">IFERROR(__xludf.DUMMYFUNCTION("IMPORTRANGE(""https://docs.google.com/spreadsheets/d/1QqKyyYR6Q21VydFLVH3TRQUabQu_ym0Zz7PgGX0-kHA/edit?usp=sharing"",""แผน!HZ86"")"),6)</f>
        <v>6</v>
      </c>
      <c r="J671" s="214">
        <v>6</v>
      </c>
      <c r="K671" s="497">
        <f ca="1">IF(I$671&gt;0,J671*100/I$671,0)</f>
        <v>100</v>
      </c>
      <c r="L671" s="162"/>
      <c r="M671" s="162"/>
      <c r="N671" s="162"/>
      <c r="O671" s="162"/>
      <c r="P671" s="162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283</v>
      </c>
      <c r="F672" s="625"/>
      <c r="G672" s="761"/>
      <c r="H672" s="763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284</v>
      </c>
      <c r="F673" s="625"/>
      <c r="G673" s="761"/>
      <c r="H673" s="763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285</v>
      </c>
      <c r="F674" s="625"/>
      <c r="G674" s="761"/>
      <c r="H674" s="763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286</v>
      </c>
      <c r="F675" s="625"/>
      <c r="G675" s="761"/>
      <c r="H675" s="763" t="s">
        <v>46</v>
      </c>
      <c r="I675" s="269"/>
      <c r="J675" s="680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287</v>
      </c>
      <c r="G676" s="761"/>
      <c r="H676" s="763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288</v>
      </c>
      <c r="G677" s="761"/>
      <c r="H677" s="763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289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IFERROR(__xludf.DUMMYFUNCTION("IMPORTRANGE(""https://docs.google.com/spreadsheets/d/1QqKyyYR6Q21VydFLVH3TRQUabQu_ym0Zz7PgGX0-kHA/edit?usp=sharing"",""แผน!IB86"")"),0)</f>
        <v>0</v>
      </c>
      <c r="J678" s="680">
        <f>J679</f>
        <v>168.76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290</v>
      </c>
      <c r="F679" s="625"/>
      <c r="G679" s="761"/>
      <c r="H679" s="763" t="s">
        <v>46</v>
      </c>
      <c r="I679" s="269"/>
      <c r="J679" s="269">
        <f>J680+J681</f>
        <v>168.76</v>
      </c>
      <c r="K679" s="497"/>
      <c r="L679" s="162"/>
      <c r="M679" s="162"/>
      <c r="N679" s="162"/>
      <c r="O679" s="162"/>
      <c r="P679" s="162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287</v>
      </c>
      <c r="G680" s="761"/>
      <c r="H680" s="763" t="s">
        <v>46</v>
      </c>
      <c r="I680" s="269"/>
      <c r="J680" s="875">
        <v>31.56</v>
      </c>
      <c r="K680" s="497"/>
      <c r="L680" s="162"/>
      <c r="M680" s="162"/>
      <c r="N680" s="162"/>
      <c r="O680" s="162"/>
      <c r="P680" s="162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288</v>
      </c>
      <c r="G681" s="761"/>
      <c r="H681" s="763" t="s">
        <v>46</v>
      </c>
      <c r="I681" s="269"/>
      <c r="J681" s="875">
        <v>137.19999999999999</v>
      </c>
      <c r="K681" s="497"/>
      <c r="L681" s="162"/>
      <c r="M681" s="162"/>
      <c r="N681" s="162"/>
      <c r="O681" s="162"/>
      <c r="P681" s="162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291</v>
      </c>
      <c r="F682" s="625"/>
      <c r="G682" s="761"/>
      <c r="H682" s="763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292</v>
      </c>
      <c r="G683" s="761"/>
      <c r="H683" s="763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293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87" t="s">
        <v>17</v>
      </c>
      <c r="E685" s="888"/>
      <c r="F685" s="888"/>
      <c r="G685" s="188"/>
      <c r="H685" s="597" t="s">
        <v>12</v>
      </c>
      <c r="I685" s="269"/>
      <c r="J685" s="269"/>
      <c r="K685" s="497"/>
      <c r="L685" s="194">
        <f ca="1">L686+L687</f>
        <v>0</v>
      </c>
      <c r="M685" s="194">
        <f>M686+M687</f>
        <v>0</v>
      </c>
      <c r="N685" s="194">
        <f>N686+N687</f>
        <v>0</v>
      </c>
      <c r="O685" s="194">
        <f ca="1">IF(L685&gt;0,N685*100/L685,0)</f>
        <v>0</v>
      </c>
      <c r="P685" s="194">
        <f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184</v>
      </c>
      <c r="F686" s="758"/>
      <c r="G686" s="602"/>
      <c r="H686" s="164" t="s">
        <v>12</v>
      </c>
      <c r="I686" s="616"/>
      <c r="J686" s="616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185</v>
      </c>
      <c r="F687" s="758"/>
      <c r="G687" s="602"/>
      <c r="H687" s="164" t="s">
        <v>12</v>
      </c>
      <c r="I687" s="616"/>
      <c r="J687" s="616"/>
      <c r="K687" s="92"/>
      <c r="L687" s="92">
        <f t="shared" ca="1" si="97"/>
        <v>0</v>
      </c>
      <c r="M687" s="92">
        <f t="shared" si="97"/>
        <v>0</v>
      </c>
      <c r="N687" s="92">
        <f t="shared" si="97"/>
        <v>0</v>
      </c>
      <c r="O687" s="92">
        <f ca="1">IF(L687&gt;0,N687*100/L687,0)</f>
        <v>0</v>
      </c>
      <c r="P687" s="92">
        <f>IF(M687&gt;0,N687*100/M687,0)</f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8"/>
      <c r="H688" s="160" t="s">
        <v>12</v>
      </c>
      <c r="I688" s="183"/>
      <c r="J688" s="183"/>
      <c r="K688" s="162"/>
      <c r="L688" s="497">
        <f ca="1">L689+L690</f>
        <v>0</v>
      </c>
      <c r="M688" s="497">
        <f>M689+M690</f>
        <v>0</v>
      </c>
      <c r="N688" s="497">
        <f>N689+N690</f>
        <v>0</v>
      </c>
      <c r="O688" s="497">
        <f ca="1">IF(L688&gt;0,N688*100/L688,0)</f>
        <v>0</v>
      </c>
      <c r="P688" s="497">
        <f>IF(M688&gt;0,N688*100/M688,0)</f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184</v>
      </c>
      <c r="F689" s="758"/>
      <c r="G689" s="602"/>
      <c r="H689" s="164" t="s">
        <v>12</v>
      </c>
      <c r="I689" s="616"/>
      <c r="J689" s="616"/>
      <c r="K689" s="92"/>
      <c r="L689" s="92">
        <v>0</v>
      </c>
      <c r="M689" s="92">
        <v>0</v>
      </c>
      <c r="N689" s="92">
        <v>0</v>
      </c>
      <c r="O689" s="92"/>
      <c r="P689" s="92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185</v>
      </c>
      <c r="F690" s="758"/>
      <c r="G690" s="602"/>
      <c r="H690" s="164" t="s">
        <v>12</v>
      </c>
      <c r="I690" s="616"/>
      <c r="J690" s="616"/>
      <c r="K690" s="92"/>
      <c r="L690" s="92">
        <f ca="1">IFERROR(__xludf.DUMMYFUNCTION("IMPORTRANGE(""https://docs.google.com/spreadsheets/d/1QqKyyYR6Q21VydFLVH3TRQUabQu_ym0Zz7PgGX0-kHA/edit?usp=sharing"",""แผน!HW86"")"),0)</f>
        <v>0</v>
      </c>
      <c r="M690" s="92">
        <v>0</v>
      </c>
      <c r="N690" s="92">
        <f>N691+N692+N693+N694</f>
        <v>0</v>
      </c>
      <c r="O690" s="92">
        <f ca="1">IF(L690&gt;0,N690*100/L690,0)</f>
        <v>0</v>
      </c>
      <c r="P690" s="92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826">
        <v>0</v>
      </c>
      <c r="O691" s="497"/>
      <c r="P691" s="497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826">
        <v>0</v>
      </c>
      <c r="O692" s="497"/>
      <c r="P692" s="497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826">
        <v>0</v>
      </c>
      <c r="O693" s="497"/>
      <c r="P693" s="497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826">
        <v>0</v>
      </c>
      <c r="O694" s="497"/>
      <c r="P694" s="497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38" t="s">
        <v>38</v>
      </c>
      <c r="E698" s="760"/>
      <c r="F698" s="760"/>
      <c r="G698" s="612"/>
      <c r="H698" s="761"/>
      <c r="I698" s="183"/>
      <c r="J698" s="183"/>
      <c r="K698" s="162"/>
      <c r="L698" s="162"/>
      <c r="M698" s="162"/>
      <c r="N698" s="162"/>
      <c r="O698" s="162"/>
      <c r="P698" s="162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294</v>
      </c>
      <c r="E699" s="762"/>
      <c r="F699" s="762"/>
      <c r="G699" s="188"/>
      <c r="H699" s="763" t="s">
        <v>46</v>
      </c>
      <c r="I699" s="764">
        <f ca="1">IFERROR(__xludf.DUMMYFUNCTION("IMPORTRANGE(""https://docs.google.com/spreadsheets/d/1QqKyyYR6Q21VydFLVH3TRQUabQu_ym0Zz7PgGX0-kHA/edit?usp=sharing"",""แผน!IC86"")"),0)</f>
        <v>0</v>
      </c>
      <c r="J699" s="269">
        <f ca="1">IFERROR(__xludf.DUMMYFUNCTION("IMPORTRANGE(""https://docs.google.com/spreadsheets/d/1XWAQStnk-4SwqDmLtmXYiTMKHgktTP8We1SCoS47DrQ/edit?usp=sharing"",""จัดที่ดิน!BB86"")"),0)</f>
        <v>0</v>
      </c>
      <c r="K699" s="497">
        <f ca="1">IF(I699&gt;0,J699*100/I699,0)</f>
        <v>0</v>
      </c>
      <c r="L699" s="497"/>
      <c r="M699" s="188"/>
      <c r="N699" s="765"/>
      <c r="O699" s="497"/>
      <c r="P699" s="497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295</v>
      </c>
      <c r="E700" s="762"/>
      <c r="F700" s="762"/>
      <c r="G700" s="188"/>
      <c r="H700" s="763" t="s">
        <v>35</v>
      </c>
      <c r="I700" s="764">
        <f ca="1">IFERROR(__xludf.DUMMYFUNCTION("IMPORTRANGE(""https://docs.google.com/spreadsheets/d/1QqKyyYR6Q21VydFLVH3TRQUabQu_ym0Zz7PgGX0-kHA/edit?usp=sharing"",""แผน!ID86"")"),0)</f>
        <v>0</v>
      </c>
      <c r="J700" s="269">
        <f ca="1">IFERROR(__xludf.DUMMYFUNCTION("IMPORTRANGE(""https://docs.google.com/spreadsheets/d/1XWAQStnk-4SwqDmLtmXYiTMKHgktTP8We1SCoS47DrQ/edit?usp=sharing"",""จัดที่ดิน!BD86"")"),0)</f>
        <v>0</v>
      </c>
      <c r="K700" s="497">
        <f ca="1">IF(I700&gt;0,J700*100/I700,0)</f>
        <v>0</v>
      </c>
      <c r="L700" s="497"/>
      <c r="M700" s="188"/>
      <c r="N700" s="765"/>
      <c r="O700" s="497"/>
      <c r="P700" s="497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296</v>
      </c>
      <c r="E701" s="762"/>
      <c r="F701" s="762"/>
      <c r="G701" s="188"/>
      <c r="H701" s="766" t="s">
        <v>46</v>
      </c>
      <c r="I701" s="767">
        <f ca="1">IFERROR(__xludf.DUMMYFUNCTION("IMPORTRANGE(""https://docs.google.com/spreadsheets/d/1QqKyyYR6Q21VydFLVH3TRQUabQu_ym0Zz7PgGX0-kHA/edit?usp=sharing"",""แผน!IE86"")"),0)</f>
        <v>0</v>
      </c>
      <c r="J701" s="680">
        <f>J704+J707</f>
        <v>0</v>
      </c>
      <c r="K701" s="194">
        <f ca="1">IF(I701&gt;0,J701*100/I701,0)</f>
        <v>0</v>
      </c>
      <c r="L701" s="497"/>
      <c r="M701" s="188"/>
      <c r="N701" s="765"/>
      <c r="O701" s="497"/>
      <c r="P701" s="497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297</v>
      </c>
      <c r="F702" s="762"/>
      <c r="G702" s="188"/>
      <c r="H702" s="763" t="s">
        <v>35</v>
      </c>
      <c r="I702" s="764"/>
      <c r="J702" s="214">
        <v>0</v>
      </c>
      <c r="K702" s="497"/>
      <c r="L702" s="497"/>
      <c r="M702" s="188"/>
      <c r="N702" s="765"/>
      <c r="O702" s="497"/>
      <c r="P702" s="497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8"/>
      <c r="H703" s="763" t="s">
        <v>34</v>
      </c>
      <c r="I703" s="764"/>
      <c r="J703" s="214">
        <v>0</v>
      </c>
      <c r="K703" s="497"/>
      <c r="L703" s="497"/>
      <c r="M703" s="188"/>
      <c r="N703" s="765"/>
      <c r="O703" s="497"/>
      <c r="P703" s="497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8"/>
      <c r="H704" s="763" t="s">
        <v>46</v>
      </c>
      <c r="I704" s="764">
        <f ca="1">IFERROR(__xludf.DUMMYFUNCTION("IMPORTRANGE(""https://docs.google.com/spreadsheets/d/1QqKyyYR6Q21VydFLVH3TRQUabQu_ym0Zz7PgGX0-kHA/edit?usp=sharing"",""แผน!IF86"")"),0)</f>
        <v>0</v>
      </c>
      <c r="J704" s="214">
        <v>0</v>
      </c>
      <c r="K704" s="497"/>
      <c r="L704" s="497"/>
      <c r="M704" s="188"/>
      <c r="N704" s="765"/>
      <c r="O704" s="497"/>
      <c r="P704" s="497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298</v>
      </c>
      <c r="F705" s="762"/>
      <c r="G705" s="188"/>
      <c r="H705" s="763" t="s">
        <v>35</v>
      </c>
      <c r="I705" s="764"/>
      <c r="J705" s="214">
        <v>0</v>
      </c>
      <c r="K705" s="497"/>
      <c r="L705" s="497"/>
      <c r="M705" s="188"/>
      <c r="N705" s="765"/>
      <c r="O705" s="497"/>
      <c r="P705" s="497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8"/>
      <c r="H706" s="763" t="s">
        <v>34</v>
      </c>
      <c r="I706" s="764"/>
      <c r="J706" s="214">
        <v>0</v>
      </c>
      <c r="K706" s="497"/>
      <c r="L706" s="497"/>
      <c r="M706" s="188"/>
      <c r="N706" s="765"/>
      <c r="O706" s="497"/>
      <c r="P706" s="497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8"/>
      <c r="H707" s="763" t="s">
        <v>46</v>
      </c>
      <c r="I707" s="764">
        <f ca="1">IFERROR(__xludf.DUMMYFUNCTION("IMPORTRANGE(""https://docs.google.com/spreadsheets/d/1QqKyyYR6Q21VydFLVH3TRQUabQu_ym0Zz7PgGX0-kHA/edit?usp=sharing"",""แผน!IG86"")"),0)</f>
        <v>0</v>
      </c>
      <c r="J707" s="214">
        <v>0</v>
      </c>
      <c r="K707" s="497"/>
      <c r="L707" s="497"/>
      <c r="M707" s="188"/>
      <c r="N707" s="765"/>
      <c r="O707" s="497"/>
      <c r="P707" s="497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299</v>
      </c>
      <c r="E708" s="762"/>
      <c r="F708" s="762"/>
      <c r="G708" s="188"/>
      <c r="H708" s="766" t="s">
        <v>46</v>
      </c>
      <c r="I708" s="767">
        <f ca="1">IFERROR(__xludf.DUMMYFUNCTION("IMPORTRANGE(""https://docs.google.com/spreadsheets/d/1QqKyyYR6Q21VydFLVH3TRQUabQu_ym0Zz7PgGX0-kHA/edit?usp=sharing"",""แผน!IH86"")"),0)</f>
        <v>0</v>
      </c>
      <c r="J708" s="680">
        <f>J714+J717</f>
        <v>0</v>
      </c>
      <c r="K708" s="194">
        <f ca="1">IF(I708&gt;0,J708*100/I708,0)</f>
        <v>0</v>
      </c>
      <c r="L708" s="497"/>
      <c r="M708" s="188"/>
      <c r="N708" s="765"/>
      <c r="O708" s="497"/>
      <c r="P708" s="497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300</v>
      </c>
      <c r="F709" s="762"/>
      <c r="G709" s="188"/>
      <c r="H709" s="763" t="s">
        <v>34</v>
      </c>
      <c r="I709" s="764"/>
      <c r="J709" s="214">
        <v>0</v>
      </c>
      <c r="K709" s="497"/>
      <c r="L709" s="765"/>
      <c r="M709" s="188"/>
      <c r="N709" s="765"/>
      <c r="O709" s="497"/>
      <c r="P709" s="497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8"/>
      <c r="H710" s="763" t="s">
        <v>46</v>
      </c>
      <c r="I710" s="764"/>
      <c r="J710" s="214">
        <v>0</v>
      </c>
      <c r="K710" s="497"/>
      <c r="L710" s="765"/>
      <c r="M710" s="188"/>
      <c r="N710" s="765"/>
      <c r="O710" s="497"/>
      <c r="P710" s="497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301</v>
      </c>
      <c r="F711" s="762"/>
      <c r="G711" s="188"/>
      <c r="H711" s="761"/>
      <c r="I711" s="764"/>
      <c r="J711" s="269"/>
      <c r="K711" s="497"/>
      <c r="L711" s="765"/>
      <c r="M711" s="188"/>
      <c r="N711" s="765"/>
      <c r="O711" s="497"/>
      <c r="P711" s="497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302</v>
      </c>
      <c r="G712" s="188"/>
      <c r="H712" s="763" t="s">
        <v>35</v>
      </c>
      <c r="I712" s="764"/>
      <c r="J712" s="214">
        <v>0</v>
      </c>
      <c r="K712" s="497"/>
      <c r="L712" s="765"/>
      <c r="M712" s="188"/>
      <c r="N712" s="765"/>
      <c r="O712" s="497"/>
      <c r="P712" s="497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8"/>
      <c r="H713" s="763" t="s">
        <v>34</v>
      </c>
      <c r="I713" s="764"/>
      <c r="J713" s="214">
        <v>0</v>
      </c>
      <c r="K713" s="497"/>
      <c r="L713" s="765"/>
      <c r="M713" s="188"/>
      <c r="N713" s="765"/>
      <c r="O713" s="497"/>
      <c r="P713" s="497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8"/>
      <c r="H714" s="763" t="s">
        <v>46</v>
      </c>
      <c r="I714" s="764"/>
      <c r="J714" s="214">
        <v>0</v>
      </c>
      <c r="K714" s="497"/>
      <c r="L714" s="765"/>
      <c r="M714" s="188"/>
      <c r="N714" s="765"/>
      <c r="O714" s="497"/>
      <c r="P714" s="497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303</v>
      </c>
      <c r="G715" s="188"/>
      <c r="H715" s="763" t="s">
        <v>35</v>
      </c>
      <c r="I715" s="764"/>
      <c r="J715" s="214">
        <v>0</v>
      </c>
      <c r="K715" s="497"/>
      <c r="L715" s="765"/>
      <c r="M715" s="188"/>
      <c r="N715" s="765"/>
      <c r="O715" s="497"/>
      <c r="P715" s="497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8"/>
      <c r="H716" s="763" t="s">
        <v>34</v>
      </c>
      <c r="I716" s="764"/>
      <c r="J716" s="214">
        <v>0</v>
      </c>
      <c r="K716" s="497"/>
      <c r="L716" s="765"/>
      <c r="M716" s="188"/>
      <c r="N716" s="765"/>
      <c r="O716" s="497"/>
      <c r="P716" s="497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8"/>
      <c r="H717" s="763" t="s">
        <v>46</v>
      </c>
      <c r="I717" s="764"/>
      <c r="J717" s="214">
        <v>0</v>
      </c>
      <c r="K717" s="497"/>
      <c r="L717" s="765"/>
      <c r="M717" s="188"/>
      <c r="N717" s="765"/>
      <c r="O717" s="497"/>
      <c r="P717" s="497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304</v>
      </c>
      <c r="E718" s="762"/>
      <c r="F718" s="762"/>
      <c r="G718" s="188"/>
      <c r="H718" s="763" t="s">
        <v>35</v>
      </c>
      <c r="I718" s="764"/>
      <c r="J718" s="269">
        <f ca="1">IFERROR(__xludf.DUMMYFUNCTION("IMPORTRANGE(""https://docs.google.com/spreadsheets/d/1XWAQStnk-4SwqDmLtmXYiTMKHgktTP8We1SCoS47DrQ/edit?usp=sharing"",""จัดที่ดิน!BF86"")"),0)</f>
        <v>0</v>
      </c>
      <c r="K718" s="497"/>
      <c r="L718" s="497"/>
      <c r="M718" s="188"/>
      <c r="N718" s="765"/>
      <c r="O718" s="497"/>
      <c r="P718" s="497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8"/>
      <c r="H719" s="763" t="s">
        <v>34</v>
      </c>
      <c r="I719" s="764"/>
      <c r="J719" s="269">
        <f ca="1">IFERROR(__xludf.DUMMYFUNCTION("IMPORTRANGE(""https://docs.google.com/spreadsheets/d/1XWAQStnk-4SwqDmLtmXYiTMKHgktTP8We1SCoS47DrQ/edit?usp=sharing"",""จัดที่ดิน!BG86"")"),0)</f>
        <v>0</v>
      </c>
      <c r="K719" s="497"/>
      <c r="L719" s="765"/>
      <c r="M719" s="188"/>
      <c r="N719" s="765"/>
      <c r="O719" s="497"/>
      <c r="P719" s="497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8"/>
      <c r="H720" s="763" t="s">
        <v>46</v>
      </c>
      <c r="I720" s="764">
        <f ca="1">IFERROR(__xludf.DUMMYFUNCTION("IMPORTRANGE(""https://docs.google.com/spreadsheets/d/1QqKyyYR6Q21VydFLVH3TRQUabQu_ym0Zz7PgGX0-kHA/edit?usp=sharing"",""แผน!II86"")"),0)</f>
        <v>0</v>
      </c>
      <c r="J720" s="269">
        <f ca="1">IFERROR(__xludf.DUMMYFUNCTION("IMPORTRANGE(""https://docs.google.com/spreadsheets/d/1XWAQStnk-4SwqDmLtmXYiTMKHgktTP8We1SCoS47DrQ/edit?usp=sharing"",""จัดที่ดิน!BH86"")"),0)</f>
        <v>0</v>
      </c>
      <c r="K720" s="497">
        <f ca="1">IF(I720&gt;0,J720*100/I720,0)</f>
        <v>0</v>
      </c>
      <c r="L720" s="765"/>
      <c r="M720" s="188"/>
      <c r="N720" s="765"/>
      <c r="O720" s="497"/>
      <c r="P720" s="497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305</v>
      </c>
      <c r="E721" s="762"/>
      <c r="F721" s="762"/>
      <c r="G721" s="188"/>
      <c r="H721" s="766" t="s">
        <v>35</v>
      </c>
      <c r="I721" s="767">
        <f ca="1">IFERROR(__xludf.DUMMYFUNCTION("IMPORTRANGE(""https://docs.google.com/spreadsheets/d/1QqKyyYR6Q21VydFLVH3TRQUabQu_ym0Zz7PgGX0-kHA/edit?usp=sharing"",""แผน!IJ86"")"),0)</f>
        <v>0</v>
      </c>
      <c r="J721" s="680">
        <f ca="1">J723+J726</f>
        <v>0</v>
      </c>
      <c r="K721" s="194">
        <f ca="1">IF(I721&gt;0,J721*100/I721,0)</f>
        <v>0</v>
      </c>
      <c r="L721" s="765"/>
      <c r="M721" s="188"/>
      <c r="N721" s="765"/>
      <c r="O721" s="497"/>
      <c r="P721" s="497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8"/>
      <c r="H722" s="766" t="s">
        <v>46</v>
      </c>
      <c r="I722" s="767">
        <f ca="1">IFERROR(__xludf.DUMMYFUNCTION("IMPORTRANGE(""https://docs.google.com/spreadsheets/d/1QqKyyYR6Q21VydFLVH3TRQUabQu_ym0Zz7PgGX0-kHA/edit?usp=sharing"",""แผน!IK86"")"),0)</f>
        <v>0</v>
      </c>
      <c r="J722" s="680">
        <f ca="1">J725+J728</f>
        <v>0</v>
      </c>
      <c r="K722" s="194">
        <f ca="1">IF(I722&gt;0,J722*100/I722,0)</f>
        <v>0</v>
      </c>
      <c r="L722" s="497"/>
      <c r="M722" s="188"/>
      <c r="N722" s="765"/>
      <c r="O722" s="497"/>
      <c r="P722" s="497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306</v>
      </c>
      <c r="F723" s="762"/>
      <c r="G723" s="188"/>
      <c r="H723" s="763" t="s">
        <v>35</v>
      </c>
      <c r="I723" s="764">
        <f ca="1">IFERROR(__xludf.DUMMYFUNCTION("IMPORTRANGE(""https://docs.google.com/spreadsheets/d/1QqKyyYR6Q21VydFLVH3TRQUabQu_ym0Zz7PgGX0-kHA/edit?usp=sharing"",""แผน!IL86"")"),0)</f>
        <v>0</v>
      </c>
      <c r="J723" s="269">
        <f ca="1">IFERROR(__xludf.DUMMYFUNCTION("IMPORTRANGE(""https://docs.google.com/spreadsheets/d/1XWAQStnk-4SwqDmLtmXYiTMKHgktTP8We1SCoS47DrQ/edit?usp=sharing"",""จัดที่ดิน!BM86"")"),0)</f>
        <v>0</v>
      </c>
      <c r="K723" s="497">
        <f ca="1">IF(I723&gt;0,J723*100/I723,0)</f>
        <v>0</v>
      </c>
      <c r="L723" s="497"/>
      <c r="M723" s="188"/>
      <c r="N723" s="765"/>
      <c r="O723" s="497"/>
      <c r="P723" s="497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8"/>
      <c r="H724" s="763" t="s">
        <v>34</v>
      </c>
      <c r="I724" s="764"/>
      <c r="J724" s="269">
        <f ca="1">IFERROR(__xludf.DUMMYFUNCTION("IMPORTRANGE(""https://docs.google.com/spreadsheets/d/1XWAQStnk-4SwqDmLtmXYiTMKHgktTP8We1SCoS47DrQ/edit?usp=sharing"",""จัดที่ดิน!BN86"")"),0)</f>
        <v>0</v>
      </c>
      <c r="K724" s="497"/>
      <c r="L724" s="765"/>
      <c r="M724" s="188"/>
      <c r="N724" s="765"/>
      <c r="O724" s="497"/>
      <c r="P724" s="497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8"/>
      <c r="H725" s="763" t="s">
        <v>46</v>
      </c>
      <c r="I725" s="764">
        <f ca="1">IFERROR(__xludf.DUMMYFUNCTION("IMPORTRANGE(""https://docs.google.com/spreadsheets/d/1QqKyyYR6Q21VydFLVH3TRQUabQu_ym0Zz7PgGX0-kHA/edit?usp=sharing"",""แผน!IM86"")"),0)</f>
        <v>0</v>
      </c>
      <c r="J725" s="269">
        <f ca="1">IFERROR(__xludf.DUMMYFUNCTION("IMPORTRANGE(""https://docs.google.com/spreadsheets/d/1XWAQStnk-4SwqDmLtmXYiTMKHgktTP8We1SCoS47DrQ/edit?usp=sharing"",""จัดที่ดิน!BO86"")"),0)</f>
        <v>0</v>
      </c>
      <c r="K725" s="497">
        <f ca="1">IF(I725&gt;0,J725*100/I725,0)</f>
        <v>0</v>
      </c>
      <c r="L725" s="765"/>
      <c r="M725" s="188"/>
      <c r="N725" s="765"/>
      <c r="O725" s="497"/>
      <c r="P725" s="497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307</v>
      </c>
      <c r="F726" s="762"/>
      <c r="G726" s="188"/>
      <c r="H726" s="763" t="s">
        <v>35</v>
      </c>
      <c r="I726" s="764">
        <f ca="1">IFERROR(__xludf.DUMMYFUNCTION("IMPORTRANGE(""https://docs.google.com/spreadsheets/d/1QqKyyYR6Q21VydFLVH3TRQUabQu_ym0Zz7PgGX0-kHA/edit?usp=sharing"",""แผน!IN86"")"),0)</f>
        <v>0</v>
      </c>
      <c r="J726" s="269">
        <f ca="1">IFERROR(__xludf.DUMMYFUNCTION("IMPORTRANGE(""https://docs.google.com/spreadsheets/d/1XWAQStnk-4SwqDmLtmXYiTMKHgktTP8We1SCoS47DrQ/edit?usp=sharing"",""จัดที่ดิน!BR86"")"),0)</f>
        <v>0</v>
      </c>
      <c r="K726" s="497">
        <f ca="1">IF(I726&gt;0,J726*100/I726,0)</f>
        <v>0</v>
      </c>
      <c r="L726" s="497"/>
      <c r="M726" s="188"/>
      <c r="N726" s="765"/>
      <c r="O726" s="497"/>
      <c r="P726" s="497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8"/>
      <c r="H727" s="763" t="s">
        <v>34</v>
      </c>
      <c r="I727" s="764"/>
      <c r="J727" s="269">
        <f ca="1">IFERROR(__xludf.DUMMYFUNCTION("IMPORTRANGE(""https://docs.google.com/spreadsheets/d/1XWAQStnk-4SwqDmLtmXYiTMKHgktTP8We1SCoS47DrQ/edit?usp=sharing"",""จัดที่ดิน!BS86"")"),0)</f>
        <v>0</v>
      </c>
      <c r="K727" s="497"/>
      <c r="L727" s="765"/>
      <c r="M727" s="188"/>
      <c r="N727" s="765"/>
      <c r="O727" s="497"/>
      <c r="P727" s="497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8"/>
      <c r="H728" s="763" t="s">
        <v>46</v>
      </c>
      <c r="I728" s="764">
        <f ca="1">IFERROR(__xludf.DUMMYFUNCTION("IMPORTRANGE(""https://docs.google.com/spreadsheets/d/1QqKyyYR6Q21VydFLVH3TRQUabQu_ym0Zz7PgGX0-kHA/edit?usp=sharing"",""แผน!IO86"")"),0)</f>
        <v>0</v>
      </c>
      <c r="J728" s="269">
        <f ca="1">IFERROR(__xludf.DUMMYFUNCTION("IMPORTRANGE(""https://docs.google.com/spreadsheets/d/1XWAQStnk-4SwqDmLtmXYiTMKHgktTP8We1SCoS47DrQ/edit?usp=sharing"",""จัดที่ดิน!BT86"")"),0)</f>
        <v>0</v>
      </c>
      <c r="K728" s="497">
        <f ca="1">IF(I728&gt;0,J728*100/I728,0)</f>
        <v>0</v>
      </c>
      <c r="L728" s="765"/>
      <c r="M728" s="188"/>
      <c r="N728" s="765"/>
      <c r="O728" s="497"/>
      <c r="P728" s="497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308</v>
      </c>
      <c r="E729" s="762"/>
      <c r="F729" s="762"/>
      <c r="G729" s="188"/>
      <c r="H729" s="766" t="s">
        <v>46</v>
      </c>
      <c r="I729" s="767">
        <f ca="1">IFERROR(__xludf.DUMMYFUNCTION("IMPORTRANGE(""https://docs.google.com/spreadsheets/d/1QqKyyYR6Q21VydFLVH3TRQUabQu_ym0Zz7PgGX0-kHA/edit?usp=sharing"",""แผน!IP86"")"),0)</f>
        <v>0</v>
      </c>
      <c r="J729" s="680">
        <f>J732+J735</f>
        <v>0</v>
      </c>
      <c r="K729" s="194">
        <f ca="1">IF(I729&gt;0,J729*100/I729,0)</f>
        <v>0</v>
      </c>
      <c r="L729" s="497"/>
      <c r="M729" s="188"/>
      <c r="N729" s="765"/>
      <c r="O729" s="497"/>
      <c r="P729" s="497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309</v>
      </c>
      <c r="F730" s="762"/>
      <c r="G730" s="188"/>
      <c r="H730" s="763" t="s">
        <v>35</v>
      </c>
      <c r="I730" s="764"/>
      <c r="J730" s="214">
        <v>0</v>
      </c>
      <c r="K730" s="497"/>
      <c r="L730" s="765"/>
      <c r="M730" s="497"/>
      <c r="N730" s="765"/>
      <c r="O730" s="497"/>
      <c r="P730" s="497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8"/>
      <c r="H731" s="763" t="s">
        <v>34</v>
      </c>
      <c r="I731" s="764"/>
      <c r="J731" s="214">
        <v>0</v>
      </c>
      <c r="K731" s="497"/>
      <c r="L731" s="765"/>
      <c r="M731" s="497"/>
      <c r="N731" s="765"/>
      <c r="O731" s="497"/>
      <c r="P731" s="497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8"/>
      <c r="H732" s="763" t="s">
        <v>46</v>
      </c>
      <c r="I732" s="764"/>
      <c r="J732" s="214">
        <v>0</v>
      </c>
      <c r="K732" s="497"/>
      <c r="L732" s="765"/>
      <c r="M732" s="497"/>
      <c r="N732" s="765"/>
      <c r="O732" s="497"/>
      <c r="P732" s="497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310</v>
      </c>
      <c r="F733" s="762"/>
      <c r="G733" s="188"/>
      <c r="H733" s="763" t="s">
        <v>35</v>
      </c>
      <c r="I733" s="764"/>
      <c r="J733" s="214">
        <v>0</v>
      </c>
      <c r="K733" s="497"/>
      <c r="L733" s="765"/>
      <c r="M733" s="497"/>
      <c r="N733" s="765"/>
      <c r="O733" s="497"/>
      <c r="P733" s="497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8"/>
      <c r="H734" s="763" t="s">
        <v>34</v>
      </c>
      <c r="I734" s="764"/>
      <c r="J734" s="214">
        <v>0</v>
      </c>
      <c r="K734" s="497"/>
      <c r="L734" s="765"/>
      <c r="M734" s="497"/>
      <c r="N734" s="765"/>
      <c r="O734" s="497"/>
      <c r="P734" s="497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311</v>
      </c>
      <c r="C735" s="733"/>
      <c r="D735" s="733"/>
      <c r="E735" s="733"/>
      <c r="F735" s="733"/>
      <c r="G735" s="734"/>
      <c r="H735" s="422" t="s">
        <v>46</v>
      </c>
      <c r="I735" s="771"/>
      <c r="J735" s="424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312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92" t="s">
        <v>17</v>
      </c>
      <c r="E737" s="888"/>
      <c r="F737" s="888"/>
      <c r="G737" s="602"/>
      <c r="H737" s="645" t="s">
        <v>12</v>
      </c>
      <c r="I737" s="616"/>
      <c r="J737" s="616"/>
      <c r="K737" s="92"/>
      <c r="L737" s="646">
        <f>L738+L739</f>
        <v>0</v>
      </c>
      <c r="M737" s="646">
        <f>M738+M739</f>
        <v>0</v>
      </c>
      <c r="N737" s="646">
        <f>N738+N739</f>
        <v>0</v>
      </c>
      <c r="O737" s="646">
        <f t="shared" ref="O737:O742" si="98">IF(L737&gt;0,N737*100/L737,0)</f>
        <v>0</v>
      </c>
      <c r="P737" s="646">
        <f t="shared" ref="P737:P742" si="99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184</v>
      </c>
      <c r="F738" s="758"/>
      <c r="G738" s="602"/>
      <c r="H738" s="164" t="s">
        <v>12</v>
      </c>
      <c r="I738" s="616"/>
      <c r="J738" s="616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185</v>
      </c>
      <c r="F739" s="758"/>
      <c r="G739" s="602"/>
      <c r="H739" s="164" t="s">
        <v>12</v>
      </c>
      <c r="I739" s="616"/>
      <c r="J739" s="616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5"/>
      <c r="J740" s="165"/>
      <c r="K740" s="166"/>
      <c r="L740" s="646">
        <f>L741+L742</f>
        <v>0</v>
      </c>
      <c r="M740" s="646">
        <f>M741+M742</f>
        <v>0</v>
      </c>
      <c r="N740" s="646">
        <f>N741+N742</f>
        <v>0</v>
      </c>
      <c r="O740" s="646">
        <f t="shared" si="98"/>
        <v>0</v>
      </c>
      <c r="P740" s="646">
        <f t="shared" si="99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184</v>
      </c>
      <c r="F741" s="758"/>
      <c r="G741" s="602"/>
      <c r="H741" s="164" t="s">
        <v>12</v>
      </c>
      <c r="I741" s="616"/>
      <c r="J741" s="616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185</v>
      </c>
      <c r="F742" s="758"/>
      <c r="G742" s="602"/>
      <c r="H742" s="164" t="s">
        <v>12</v>
      </c>
      <c r="I742" s="616"/>
      <c r="J742" s="616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186</v>
      </c>
      <c r="G743" s="602"/>
      <c r="H743" s="164" t="s">
        <v>12</v>
      </c>
      <c r="I743" s="616"/>
      <c r="J743" s="616"/>
      <c r="K743" s="92"/>
      <c r="L743" s="92"/>
      <c r="M743" s="92"/>
      <c r="N743" s="92"/>
      <c r="O743" s="92"/>
      <c r="P743" s="92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187</v>
      </c>
      <c r="G744" s="602"/>
      <c r="H744" s="164" t="s">
        <v>12</v>
      </c>
      <c r="I744" s="616"/>
      <c r="J744" s="616"/>
      <c r="K744" s="92"/>
      <c r="L744" s="92"/>
      <c r="M744" s="92"/>
      <c r="N744" s="92"/>
      <c r="O744" s="92"/>
      <c r="P744" s="92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188</v>
      </c>
      <c r="G745" s="602"/>
      <c r="H745" s="164" t="s">
        <v>12</v>
      </c>
      <c r="I745" s="616"/>
      <c r="J745" s="616"/>
      <c r="K745" s="92"/>
      <c r="L745" s="92"/>
      <c r="M745" s="92"/>
      <c r="N745" s="92"/>
      <c r="O745" s="92"/>
      <c r="P745" s="92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189</v>
      </c>
      <c r="G746" s="602"/>
      <c r="H746" s="164" t="s">
        <v>12</v>
      </c>
      <c r="I746" s="616"/>
      <c r="J746" s="616"/>
      <c r="K746" s="92"/>
      <c r="L746" s="92"/>
      <c r="M746" s="92"/>
      <c r="N746" s="92"/>
      <c r="O746" s="92"/>
      <c r="P746" s="92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5"/>
      <c r="J747" s="165"/>
      <c r="K747" s="166"/>
      <c r="L747" s="646">
        <f>L748+L749</f>
        <v>0</v>
      </c>
      <c r="M747" s="646">
        <f>M748+M749</f>
        <v>0</v>
      </c>
      <c r="N747" s="646">
        <f>N748+N749</f>
        <v>0</v>
      </c>
      <c r="O747" s="646">
        <f>IF(L747&gt;0,N747*100/L747,0)</f>
        <v>0</v>
      </c>
      <c r="P747" s="646">
        <f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39" t="s">
        <v>38</v>
      </c>
      <c r="E750" s="650"/>
      <c r="F750" s="650"/>
      <c r="G750" s="651"/>
      <c r="H750" s="365"/>
      <c r="I750" s="165"/>
      <c r="J750" s="165"/>
      <c r="K750" s="166"/>
      <c r="L750" s="166"/>
      <c r="M750" s="166"/>
      <c r="N750" s="166"/>
      <c r="O750" s="166"/>
      <c r="P750" s="166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313</v>
      </c>
      <c r="F751" s="758"/>
      <c r="G751" s="602"/>
      <c r="H751" s="164" t="s">
        <v>46</v>
      </c>
      <c r="I751" s="616"/>
      <c r="J751" s="616"/>
      <c r="K751" s="92"/>
      <c r="L751" s="92"/>
      <c r="M751" s="92"/>
      <c r="N751" s="92"/>
      <c r="O751" s="92"/>
      <c r="P751" s="92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4" t="s">
        <v>314</v>
      </c>
      <c r="I752" s="616"/>
      <c r="J752" s="616"/>
      <c r="K752" s="92"/>
      <c r="L752" s="92"/>
      <c r="M752" s="92"/>
      <c r="N752" s="92"/>
      <c r="O752" s="92"/>
      <c r="P752" s="92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315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92" t="s">
        <v>17</v>
      </c>
      <c r="E754" s="888"/>
      <c r="F754" s="888"/>
      <c r="G754" s="602"/>
      <c r="H754" s="645" t="s">
        <v>12</v>
      </c>
      <c r="I754" s="616"/>
      <c r="J754" s="616"/>
      <c r="K754" s="92"/>
      <c r="L754" s="646">
        <f>L755+L756</f>
        <v>0</v>
      </c>
      <c r="M754" s="646">
        <f>M755+M756</f>
        <v>0</v>
      </c>
      <c r="N754" s="646">
        <f>N755+N756</f>
        <v>0</v>
      </c>
      <c r="O754" s="646">
        <f t="shared" ref="O754:O759" si="101">IF(L754&gt;0,N754*100/L754,0)</f>
        <v>0</v>
      </c>
      <c r="P754" s="646">
        <f t="shared" ref="P754:P759" si="102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184</v>
      </c>
      <c r="F755" s="758"/>
      <c r="G755" s="602"/>
      <c r="H755" s="164" t="s">
        <v>12</v>
      </c>
      <c r="I755" s="616"/>
      <c r="J755" s="616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185</v>
      </c>
      <c r="F756" s="758"/>
      <c r="G756" s="602"/>
      <c r="H756" s="164" t="s">
        <v>12</v>
      </c>
      <c r="I756" s="616"/>
      <c r="J756" s="616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5"/>
      <c r="J757" s="165"/>
      <c r="K757" s="166"/>
      <c r="L757" s="646">
        <f>L758+L759</f>
        <v>0</v>
      </c>
      <c r="M757" s="646">
        <f>M758+M759</f>
        <v>0</v>
      </c>
      <c r="N757" s="646">
        <f>N758+N759</f>
        <v>0</v>
      </c>
      <c r="O757" s="646">
        <f t="shared" si="101"/>
        <v>0</v>
      </c>
      <c r="P757" s="646">
        <f t="shared" si="102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184</v>
      </c>
      <c r="F758" s="758"/>
      <c r="G758" s="602"/>
      <c r="H758" s="164" t="s">
        <v>12</v>
      </c>
      <c r="I758" s="616"/>
      <c r="J758" s="616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185</v>
      </c>
      <c r="F759" s="758"/>
      <c r="G759" s="602"/>
      <c r="H759" s="164" t="s">
        <v>12</v>
      </c>
      <c r="I759" s="616"/>
      <c r="J759" s="616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186</v>
      </c>
      <c r="G760" s="602"/>
      <c r="H760" s="164" t="s">
        <v>12</v>
      </c>
      <c r="I760" s="616"/>
      <c r="J760" s="616"/>
      <c r="K760" s="92"/>
      <c r="L760" s="92"/>
      <c r="M760" s="92"/>
      <c r="N760" s="92"/>
      <c r="O760" s="92"/>
      <c r="P760" s="92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187</v>
      </c>
      <c r="G761" s="602"/>
      <c r="H761" s="164" t="s">
        <v>12</v>
      </c>
      <c r="I761" s="616"/>
      <c r="J761" s="616"/>
      <c r="K761" s="92"/>
      <c r="L761" s="92"/>
      <c r="M761" s="92"/>
      <c r="N761" s="92"/>
      <c r="O761" s="92"/>
      <c r="P761" s="92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188</v>
      </c>
      <c r="G762" s="602"/>
      <c r="H762" s="164" t="s">
        <v>12</v>
      </c>
      <c r="I762" s="616"/>
      <c r="J762" s="616"/>
      <c r="K762" s="92"/>
      <c r="L762" s="92"/>
      <c r="M762" s="92"/>
      <c r="N762" s="92"/>
      <c r="O762" s="92"/>
      <c r="P762" s="92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189</v>
      </c>
      <c r="G763" s="602"/>
      <c r="H763" s="164" t="s">
        <v>12</v>
      </c>
      <c r="I763" s="616"/>
      <c r="J763" s="616"/>
      <c r="K763" s="92"/>
      <c r="L763" s="92"/>
      <c r="M763" s="92"/>
      <c r="N763" s="92"/>
      <c r="O763" s="92"/>
      <c r="P763" s="92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5"/>
      <c r="J764" s="165"/>
      <c r="K764" s="166"/>
      <c r="L764" s="646">
        <f>L765+L766</f>
        <v>0</v>
      </c>
      <c r="M764" s="646">
        <f>M765+M766</f>
        <v>0</v>
      </c>
      <c r="N764" s="646">
        <f>N765+N766</f>
        <v>0</v>
      </c>
      <c r="O764" s="646">
        <f>IF(L764&gt;0,N764*100/L764,0)</f>
        <v>0</v>
      </c>
      <c r="P764" s="646">
        <f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39" t="s">
        <v>38</v>
      </c>
      <c r="E767" s="650"/>
      <c r="F767" s="650"/>
      <c r="G767" s="651"/>
      <c r="H767" s="365"/>
      <c r="I767" s="165"/>
      <c r="J767" s="165"/>
      <c r="K767" s="166"/>
      <c r="L767" s="166"/>
      <c r="M767" s="166"/>
      <c r="N767" s="166"/>
      <c r="O767" s="166"/>
      <c r="P767" s="166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316</v>
      </c>
      <c r="F768" s="758"/>
      <c r="G768" s="602"/>
      <c r="H768" s="164" t="s">
        <v>46</v>
      </c>
      <c r="I768" s="616"/>
      <c r="J768" s="616"/>
      <c r="K768" s="92"/>
      <c r="L768" s="92"/>
      <c r="M768" s="92"/>
      <c r="N768" s="92"/>
      <c r="O768" s="92"/>
      <c r="P768" s="92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317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92" t="s">
        <v>17</v>
      </c>
      <c r="E770" s="888"/>
      <c r="F770" s="888"/>
      <c r="G770" s="602"/>
      <c r="H770" s="645" t="s">
        <v>12</v>
      </c>
      <c r="I770" s="616"/>
      <c r="J770" s="616"/>
      <c r="K770" s="92"/>
      <c r="L770" s="646">
        <f>L771+L772</f>
        <v>0</v>
      </c>
      <c r="M770" s="646">
        <f>M771+M772</f>
        <v>0</v>
      </c>
      <c r="N770" s="646">
        <f>N771+N772</f>
        <v>0</v>
      </c>
      <c r="O770" s="646">
        <f t="shared" ref="O770:O775" si="104">IF(L770&gt;0,N770*100/L770,0)</f>
        <v>0</v>
      </c>
      <c r="P770" s="646">
        <f t="shared" ref="P770:P775" si="105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184</v>
      </c>
      <c r="F771" s="758"/>
      <c r="G771" s="602"/>
      <c r="H771" s="164" t="s">
        <v>12</v>
      </c>
      <c r="I771" s="616"/>
      <c r="J771" s="616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185</v>
      </c>
      <c r="F772" s="758"/>
      <c r="G772" s="602"/>
      <c r="H772" s="164" t="s">
        <v>12</v>
      </c>
      <c r="I772" s="616"/>
      <c r="J772" s="616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5"/>
      <c r="J773" s="165"/>
      <c r="K773" s="166"/>
      <c r="L773" s="646">
        <f>L774+L775</f>
        <v>0</v>
      </c>
      <c r="M773" s="646">
        <f>M774+M775</f>
        <v>0</v>
      </c>
      <c r="N773" s="646">
        <f>N774+N775</f>
        <v>0</v>
      </c>
      <c r="O773" s="646">
        <f t="shared" si="104"/>
        <v>0</v>
      </c>
      <c r="P773" s="646">
        <f t="shared" si="105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184</v>
      </c>
      <c r="F774" s="758"/>
      <c r="G774" s="602"/>
      <c r="H774" s="164" t="s">
        <v>12</v>
      </c>
      <c r="I774" s="616"/>
      <c r="J774" s="616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185</v>
      </c>
      <c r="F775" s="758"/>
      <c r="G775" s="602"/>
      <c r="H775" s="164" t="s">
        <v>12</v>
      </c>
      <c r="I775" s="616"/>
      <c r="J775" s="616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186</v>
      </c>
      <c r="G776" s="602"/>
      <c r="H776" s="164" t="s">
        <v>12</v>
      </c>
      <c r="I776" s="616"/>
      <c r="J776" s="616"/>
      <c r="K776" s="92"/>
      <c r="L776" s="92"/>
      <c r="M776" s="92"/>
      <c r="N776" s="92"/>
      <c r="O776" s="92"/>
      <c r="P776" s="92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187</v>
      </c>
      <c r="G777" s="602"/>
      <c r="H777" s="164" t="s">
        <v>12</v>
      </c>
      <c r="I777" s="616"/>
      <c r="J777" s="616"/>
      <c r="K777" s="92"/>
      <c r="L777" s="92"/>
      <c r="M777" s="92"/>
      <c r="N777" s="92"/>
      <c r="O777" s="92"/>
      <c r="P777" s="92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188</v>
      </c>
      <c r="G778" s="602"/>
      <c r="H778" s="164" t="s">
        <v>12</v>
      </c>
      <c r="I778" s="616"/>
      <c r="J778" s="616"/>
      <c r="K778" s="92"/>
      <c r="L778" s="92"/>
      <c r="M778" s="92"/>
      <c r="N778" s="92"/>
      <c r="O778" s="92"/>
      <c r="P778" s="92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189</v>
      </c>
      <c r="G779" s="602"/>
      <c r="H779" s="164" t="s">
        <v>12</v>
      </c>
      <c r="I779" s="616"/>
      <c r="J779" s="616"/>
      <c r="K779" s="92"/>
      <c r="L779" s="92"/>
      <c r="M779" s="92"/>
      <c r="N779" s="92"/>
      <c r="O779" s="92"/>
      <c r="P779" s="92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5"/>
      <c r="J780" s="165"/>
      <c r="K780" s="166"/>
      <c r="L780" s="646">
        <f>L781+L782</f>
        <v>0</v>
      </c>
      <c r="M780" s="646">
        <f>M781+M782</f>
        <v>0</v>
      </c>
      <c r="N780" s="646">
        <f>N781+N782</f>
        <v>0</v>
      </c>
      <c r="O780" s="646">
        <f>IF(L780&gt;0,N780*100/L780,0)</f>
        <v>0</v>
      </c>
      <c r="P780" s="646">
        <f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39" t="s">
        <v>38</v>
      </c>
      <c r="E783" s="650"/>
      <c r="F783" s="650"/>
      <c r="G783" s="651"/>
      <c r="H783" s="800"/>
      <c r="I783" s="165"/>
      <c r="J783" s="165"/>
      <c r="K783" s="166"/>
      <c r="L783" s="166"/>
      <c r="M783" s="166"/>
      <c r="N783" s="166"/>
      <c r="O783" s="166"/>
      <c r="P783" s="166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318</v>
      </c>
      <c r="F784" s="758"/>
      <c r="G784" s="602"/>
      <c r="H784" s="164" t="s">
        <v>46</v>
      </c>
      <c r="I784" s="616"/>
      <c r="J784" s="616"/>
      <c r="K784" s="92"/>
      <c r="L784" s="92"/>
      <c r="M784" s="92"/>
      <c r="N784" s="92"/>
      <c r="O784" s="92"/>
      <c r="P784" s="92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319</v>
      </c>
      <c r="C785" s="803"/>
      <c r="D785" s="803"/>
      <c r="E785" s="803"/>
      <c r="F785" s="803"/>
      <c r="G785" s="804"/>
      <c r="H785" s="805" t="s">
        <v>46</v>
      </c>
      <c r="I785" s="806">
        <f ca="1">I800</f>
        <v>0</v>
      </c>
      <c r="J785" s="807">
        <f ca="1">J800</f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87" t="s">
        <v>17</v>
      </c>
      <c r="E786" s="888"/>
      <c r="F786" s="888"/>
      <c r="G786" s="188"/>
      <c r="H786" s="597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184</v>
      </c>
      <c r="F787" s="758"/>
      <c r="G787" s="602"/>
      <c r="H787" s="164" t="s">
        <v>12</v>
      </c>
      <c r="I787" s="616"/>
      <c r="J787" s="616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185</v>
      </c>
      <c r="F788" s="758"/>
      <c r="G788" s="602"/>
      <c r="H788" s="164" t="s">
        <v>12</v>
      </c>
      <c r="I788" s="616"/>
      <c r="J788" s="616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184</v>
      </c>
      <c r="F790" s="758"/>
      <c r="G790" s="602"/>
      <c r="H790" s="164" t="s">
        <v>12</v>
      </c>
      <c r="I790" s="616"/>
      <c r="J790" s="616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185</v>
      </c>
      <c r="F791" s="758"/>
      <c r="G791" s="602"/>
      <c r="H791" s="164" t="s">
        <v>12</v>
      </c>
      <c r="I791" s="616"/>
      <c r="J791" s="616"/>
      <c r="K791" s="92"/>
      <c r="L791" s="92">
        <f ca="1">IFERROR(__xludf.DUMMYFUNCTION("IMPORTRANGE(""https://docs.google.com/spreadsheets/d/1QqKyyYR6Q21VydFLVH3TRQUabQu_ym0Zz7PgGX0-kHA/edit?usp=sharing"",""แผน!JJ86"")"),0)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826">
        <v>0</v>
      </c>
      <c r="O792" s="497"/>
      <c r="P792" s="497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826">
        <v>0</v>
      </c>
      <c r="O793" s="497"/>
      <c r="P793" s="497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826">
        <v>0</v>
      </c>
      <c r="O794" s="497"/>
      <c r="P794" s="497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826">
        <v>0</v>
      </c>
      <c r="O795" s="497"/>
      <c r="P795" s="497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38" t="s">
        <v>38</v>
      </c>
      <c r="E799" s="760"/>
      <c r="F799" s="760"/>
      <c r="G799" s="612"/>
      <c r="H799" s="810"/>
      <c r="I799" s="183"/>
      <c r="J799" s="183"/>
      <c r="K799" s="162"/>
      <c r="L799" s="162"/>
      <c r="M799" s="162"/>
      <c r="N799" s="162"/>
      <c r="O799" s="162"/>
      <c r="P799" s="162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320</v>
      </c>
      <c r="G800" s="761"/>
      <c r="H800" s="184" t="s">
        <v>46</v>
      </c>
      <c r="I800" s="183">
        <f ca="1">IFERROR(__xludf.DUMMYFUNCTION("IMPORTRANGE(""https://docs.google.com/spreadsheets/d/1QqKyyYR6Q21VydFLVH3TRQUabQu_ym0Zz7PgGX0-kHA/edit?usp=sharing"",""แผน!JN86"")"),0)</f>
        <v>0</v>
      </c>
      <c r="J800" s="183">
        <f ca="1">IFERROR(__xludf.DUMMYFUNCTION("IMPORTRANGE(""https://docs.google.com/spreadsheets/d/1MaWodYyGHDf7siQLGxnXhG4mBNTNIuy296niS2xXulU/edit?usp=sharing"",""RTK!H86"")"),0)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IFERROR(__xludf.DUMMYFUNCTION("IMPORTRANGE(""https://docs.google.com/spreadsheets/d/1MaWodYyGHDf7siQLGxnXhG4mBNTNIuy296niS2xXulU/edit?usp=sharing"",""RTK!I86"")"),0)</f>
        <v>0</v>
      </c>
      <c r="K801" s="497"/>
      <c r="L801" s="497"/>
      <c r="M801" s="497"/>
      <c r="N801" s="497"/>
      <c r="O801" s="162"/>
      <c r="P801" s="162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321</v>
      </c>
      <c r="G802" s="365"/>
      <c r="H802" s="652" t="s">
        <v>46</v>
      </c>
      <c r="I802" s="165"/>
      <c r="J802" s="616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5"/>
      <c r="H803" s="652" t="s">
        <v>34</v>
      </c>
      <c r="I803" s="165"/>
      <c r="J803" s="616">
        <v>0</v>
      </c>
      <c r="K803" s="166"/>
      <c r="L803" s="166"/>
      <c r="M803" s="166"/>
      <c r="N803" s="166"/>
      <c r="O803" s="166"/>
      <c r="P803" s="166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322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92" t="s">
        <v>17</v>
      </c>
      <c r="E805" s="888"/>
      <c r="F805" s="888"/>
      <c r="G805" s="602"/>
      <c r="H805" s="645" t="s">
        <v>12</v>
      </c>
      <c r="I805" s="616"/>
      <c r="J805" s="616"/>
      <c r="K805" s="92"/>
      <c r="L805" s="646">
        <f>L806+L807</f>
        <v>0</v>
      </c>
      <c r="M805" s="646">
        <f>M806+M807</f>
        <v>0</v>
      </c>
      <c r="N805" s="646">
        <f>N806+N807</f>
        <v>0</v>
      </c>
      <c r="O805" s="646">
        <f t="shared" ref="O805:O810" si="110">IF(L805&gt;0,N805*100/L805,0)</f>
        <v>0</v>
      </c>
      <c r="P805" s="646">
        <f t="shared" ref="P805:P810" si="111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184</v>
      </c>
      <c r="F806" s="758"/>
      <c r="G806" s="602"/>
      <c r="H806" s="164" t="s">
        <v>12</v>
      </c>
      <c r="I806" s="616"/>
      <c r="J806" s="616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185</v>
      </c>
      <c r="F807" s="758"/>
      <c r="G807" s="602"/>
      <c r="H807" s="164" t="s">
        <v>12</v>
      </c>
      <c r="I807" s="616"/>
      <c r="J807" s="616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912" t="s">
        <v>20</v>
      </c>
      <c r="E808" s="888"/>
      <c r="F808" s="888"/>
      <c r="G808" s="602"/>
      <c r="H808" s="645" t="s">
        <v>12</v>
      </c>
      <c r="I808" s="165"/>
      <c r="J808" s="165"/>
      <c r="K808" s="166"/>
      <c r="L808" s="646">
        <f>L809+L810</f>
        <v>0</v>
      </c>
      <c r="M808" s="646">
        <f>M809+M810</f>
        <v>0</v>
      </c>
      <c r="N808" s="646">
        <f>N809+N810</f>
        <v>0</v>
      </c>
      <c r="O808" s="646">
        <f t="shared" si="110"/>
        <v>0</v>
      </c>
      <c r="P808" s="646">
        <f t="shared" si="111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184</v>
      </c>
      <c r="F809" s="758"/>
      <c r="G809" s="602"/>
      <c r="H809" s="164" t="s">
        <v>12</v>
      </c>
      <c r="I809" s="616"/>
      <c r="J809" s="616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185</v>
      </c>
      <c r="F810" s="758"/>
      <c r="G810" s="602"/>
      <c r="H810" s="164" t="s">
        <v>12</v>
      </c>
      <c r="I810" s="616"/>
      <c r="J810" s="616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186</v>
      </c>
      <c r="G811" s="602"/>
      <c r="H811" s="164" t="s">
        <v>12</v>
      </c>
      <c r="I811" s="616"/>
      <c r="J811" s="616"/>
      <c r="K811" s="92"/>
      <c r="L811" s="92"/>
      <c r="M811" s="92"/>
      <c r="N811" s="92"/>
      <c r="O811" s="92"/>
      <c r="P811" s="92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187</v>
      </c>
      <c r="G812" s="602"/>
      <c r="H812" s="164" t="s">
        <v>12</v>
      </c>
      <c r="I812" s="616"/>
      <c r="J812" s="616"/>
      <c r="K812" s="92"/>
      <c r="L812" s="92"/>
      <c r="M812" s="92"/>
      <c r="N812" s="92"/>
      <c r="O812" s="92"/>
      <c r="P812" s="92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188</v>
      </c>
      <c r="G813" s="602"/>
      <c r="H813" s="164" t="s">
        <v>12</v>
      </c>
      <c r="I813" s="616"/>
      <c r="J813" s="616"/>
      <c r="K813" s="92"/>
      <c r="L813" s="92"/>
      <c r="M813" s="92"/>
      <c r="N813" s="92"/>
      <c r="O813" s="92"/>
      <c r="P813" s="92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189</v>
      </c>
      <c r="G814" s="602"/>
      <c r="H814" s="164" t="s">
        <v>12</v>
      </c>
      <c r="I814" s="616"/>
      <c r="J814" s="616"/>
      <c r="K814" s="92"/>
      <c r="L814" s="92"/>
      <c r="M814" s="92"/>
      <c r="N814" s="92"/>
      <c r="O814" s="92"/>
      <c r="P814" s="92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912" t="s">
        <v>21</v>
      </c>
      <c r="E815" s="888"/>
      <c r="F815" s="888"/>
      <c r="G815" s="602"/>
      <c r="H815" s="782" t="s">
        <v>12</v>
      </c>
      <c r="I815" s="165"/>
      <c r="J815" s="165"/>
      <c r="K815" s="166"/>
      <c r="L815" s="646">
        <f>L816+L817</f>
        <v>0</v>
      </c>
      <c r="M815" s="646">
        <f>M816+M817</f>
        <v>0</v>
      </c>
      <c r="N815" s="646">
        <f>N816+N817</f>
        <v>0</v>
      </c>
      <c r="O815" s="646">
        <f>IF(L815&gt;0,N815*100/L815,0)</f>
        <v>0</v>
      </c>
      <c r="P815" s="646">
        <f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37" t="s">
        <v>38</v>
      </c>
      <c r="E818" s="650"/>
      <c r="F818" s="650"/>
      <c r="G818" s="651"/>
      <c r="H818" s="365"/>
      <c r="I818" s="165"/>
      <c r="J818" s="165"/>
      <c r="K818" s="166"/>
      <c r="L818" s="166"/>
      <c r="M818" s="166"/>
      <c r="N818" s="166"/>
      <c r="O818" s="166"/>
      <c r="P818" s="166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323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36" t="s">
        <v>344</v>
      </c>
      <c r="B820" s="834"/>
      <c r="C820" s="834"/>
      <c r="D820" s="835"/>
      <c r="E820" s="834"/>
      <c r="F820" s="834"/>
      <c r="G820" s="833"/>
      <c r="H820" s="832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1"/>
      <c r="J820" s="831"/>
      <c r="K820" s="830"/>
      <c r="L820" s="830"/>
      <c r="M820" s="830"/>
      <c r="N820" s="830"/>
      <c r="O820" s="830"/>
      <c r="P820" s="83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325</v>
      </c>
      <c r="C821" s="762"/>
      <c r="D821" s="574"/>
      <c r="E821" s="762"/>
      <c r="F821" s="762"/>
      <c r="G821" s="188"/>
      <c r="H821" s="622" t="s">
        <v>12</v>
      </c>
      <c r="I821" s="269">
        <f ca="1">IFERROR(__xludf.DUMMYFUNCTION("IMPORTRANGE(""https://docs.google.com/spreadsheets/d/19vJNZY_5yjcGF2XGBMNZRCAIB0Kwfpjp8YEOfu-bneM/edit?usp=sharing"",""งานกองทุน!D86"")"),3740270.43)</f>
        <v>3740270.43</v>
      </c>
      <c r="J821" s="269">
        <f ca="1">IFERROR(__xludf.DUMMYFUNCTION("IMPORTRANGE(""https://docs.google.com/spreadsheets/d/19vJNZY_5yjcGF2XGBMNZRCAIB0Kwfpjp8YEOfu-bneM/edit?usp=sharing"",""งานกองทุน!F86"")"),3207035.89)</f>
        <v>3207035.89</v>
      </c>
      <c r="K821" s="497">
        <f t="shared" ref="K821:K828" ca="1" si="113">IF(I821&gt;0,J821*100/I821,0)</f>
        <v>85.743422835872323</v>
      </c>
      <c r="L821" s="497"/>
      <c r="M821" s="497"/>
      <c r="N821" s="497"/>
      <c r="O821" s="497"/>
      <c r="P821" s="497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8"/>
      <c r="H822" s="622" t="s">
        <v>35</v>
      </c>
      <c r="I822" s="269">
        <f ca="1">IFERROR(__xludf.DUMMYFUNCTION("IMPORTRANGE(""https://docs.google.com/spreadsheets/d/19vJNZY_5yjcGF2XGBMNZRCAIB0Kwfpjp8YEOfu-bneM/edit?usp=sharing"",""งานกองทุน!C86"")"),269)</f>
        <v>269</v>
      </c>
      <c r="J822" s="269">
        <f ca="1">IFERROR(__xludf.DUMMYFUNCTION("IMPORTRANGE(""https://docs.google.com/spreadsheets/d/19vJNZY_5yjcGF2XGBMNZRCAIB0Kwfpjp8YEOfu-bneM/edit?usp=sharing"",""งานกองทุน!E86"")"),266)</f>
        <v>266</v>
      </c>
      <c r="K822" s="497">
        <f t="shared" ca="1" si="113"/>
        <v>98.884758364312262</v>
      </c>
      <c r="L822" s="497"/>
      <c r="M822" s="497"/>
      <c r="N822" s="497"/>
      <c r="O822" s="497"/>
      <c r="P822" s="497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326</v>
      </c>
      <c r="C823" s="762"/>
      <c r="D823" s="574"/>
      <c r="E823" s="762"/>
      <c r="F823" s="762"/>
      <c r="G823" s="188"/>
      <c r="H823" s="622" t="s">
        <v>12</v>
      </c>
      <c r="I823" s="269">
        <f ca="1">IFERROR(__xludf.DUMMYFUNCTION("IMPORTRANGE(""https://docs.google.com/spreadsheets/d/19vJNZY_5yjcGF2XGBMNZRCAIB0Kwfpjp8YEOfu-bneM/edit?usp=sharing"",""งานกองทุน!I86"")"),1687353.19)</f>
        <v>1687353.19</v>
      </c>
      <c r="J823" s="269">
        <f ca="1">IFERROR(__xludf.DUMMYFUNCTION("IMPORTRANGE(""https://docs.google.com/spreadsheets/d/19vJNZY_5yjcGF2XGBMNZRCAIB0Kwfpjp8YEOfu-bneM/edit?usp=sharing"",""งานกองทุน!K86"")"),376335.01)</f>
        <v>376335.01</v>
      </c>
      <c r="K823" s="497">
        <f t="shared" ca="1" si="113"/>
        <v>22.303274277746201</v>
      </c>
      <c r="L823" s="497"/>
      <c r="M823" s="497"/>
      <c r="N823" s="497"/>
      <c r="O823" s="497"/>
      <c r="P823" s="497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8"/>
      <c r="H824" s="622" t="s">
        <v>35</v>
      </c>
      <c r="I824" s="269">
        <f ca="1">IFERROR(__xludf.DUMMYFUNCTION("IMPORTRANGE(""https://docs.google.com/spreadsheets/d/19vJNZY_5yjcGF2XGBMNZRCAIB0Kwfpjp8YEOfu-bneM/edit?usp=sharing"",""งานกองทุน!H86"")"),68)</f>
        <v>68</v>
      </c>
      <c r="J824" s="269">
        <f ca="1">IFERROR(__xludf.DUMMYFUNCTION("IMPORTRANGE(""https://docs.google.com/spreadsheets/d/19vJNZY_5yjcGF2XGBMNZRCAIB0Kwfpjp8YEOfu-bneM/edit?usp=sharing"",""งานกองทุน!J86"")"),59)</f>
        <v>59</v>
      </c>
      <c r="K824" s="497">
        <f t="shared" ca="1" si="113"/>
        <v>86.764705882352942</v>
      </c>
      <c r="L824" s="497"/>
      <c r="M824" s="497"/>
      <c r="N824" s="497"/>
      <c r="O824" s="497"/>
      <c r="P824" s="497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327</v>
      </c>
      <c r="C825" s="762"/>
      <c r="D825" s="574"/>
      <c r="E825" s="762"/>
      <c r="F825" s="762"/>
      <c r="G825" s="188"/>
      <c r="H825" s="622" t="s">
        <v>12</v>
      </c>
      <c r="I825" s="269">
        <f ca="1">IFERROR(__xludf.DUMMYFUNCTION("IMPORTRANGE(""https://docs.google.com/spreadsheets/d/19vJNZY_5yjcGF2XGBMNZRCAIB0Kwfpjp8YEOfu-bneM/edit?usp=sharing"",""งานกองทุน!N86"")"),0)</f>
        <v>0</v>
      </c>
      <c r="J825" s="269">
        <f ca="1">IFERROR(__xludf.DUMMYFUNCTION("IMPORTRANGE(""https://docs.google.com/spreadsheets/d/19vJNZY_5yjcGF2XGBMNZRCAIB0Kwfpjp8YEOfu-bneM/edit?usp=sharing"",""งานกองทุน!P86"")"),0)</f>
        <v>0</v>
      </c>
      <c r="K825" s="497">
        <f t="shared" ca="1" si="113"/>
        <v>0</v>
      </c>
      <c r="L825" s="497"/>
      <c r="M825" s="497"/>
      <c r="N825" s="497"/>
      <c r="O825" s="497"/>
      <c r="P825" s="497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8"/>
      <c r="H826" s="622" t="s">
        <v>35</v>
      </c>
      <c r="I826" s="269">
        <f ca="1">IFERROR(__xludf.DUMMYFUNCTION("IMPORTRANGE(""https://docs.google.com/spreadsheets/d/19vJNZY_5yjcGF2XGBMNZRCAIB0Kwfpjp8YEOfu-bneM/edit?usp=sharing"",""งานกองทุน!M86"")"),0)</f>
        <v>0</v>
      </c>
      <c r="J826" s="269">
        <f ca="1">IFERROR(__xludf.DUMMYFUNCTION("IMPORTRANGE(""https://docs.google.com/spreadsheets/d/19vJNZY_5yjcGF2XGBMNZRCAIB0Kwfpjp8YEOfu-bneM/edit?usp=sharing"",""งานกองทุน!O86"")"),0)</f>
        <v>0</v>
      </c>
      <c r="K826" s="497">
        <f t="shared" ca="1" si="113"/>
        <v>0</v>
      </c>
      <c r="L826" s="497"/>
      <c r="M826" s="497"/>
      <c r="N826" s="497"/>
      <c r="O826" s="497"/>
      <c r="P826" s="497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328</v>
      </c>
      <c r="C827" s="762"/>
      <c r="D827" s="574"/>
      <c r="E827" s="762"/>
      <c r="F827" s="762"/>
      <c r="G827" s="188"/>
      <c r="H827" s="622" t="s">
        <v>12</v>
      </c>
      <c r="I827" s="269">
        <f ca="1">IFERROR(__xludf.DUMMYFUNCTION("IMPORTRANGE(""https://docs.google.com/spreadsheets/d/19vJNZY_5yjcGF2XGBMNZRCAIB0Kwfpjp8YEOfu-bneM/edit?usp=sharing"",""งานกองทุน!S86"")"),1680000)</f>
        <v>1680000</v>
      </c>
      <c r="J827" s="269">
        <f ca="1">IFERROR(__xludf.DUMMYFUNCTION("IMPORTRANGE(""https://docs.google.com/spreadsheets/d/19vJNZY_5yjcGF2XGBMNZRCAIB0Kwfpjp8YEOfu-bneM/edit?usp=sharing"",""งานกองทุน!U86"")"),2240000)</f>
        <v>2240000</v>
      </c>
      <c r="K827" s="497">
        <f t="shared" ca="1" si="113"/>
        <v>133.33333333333334</v>
      </c>
      <c r="L827" s="497"/>
      <c r="M827" s="497"/>
      <c r="N827" s="497"/>
      <c r="O827" s="497"/>
      <c r="P827" s="497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827"/>
      <c r="B828" s="748"/>
      <c r="C828" s="748"/>
      <c r="D828" s="747"/>
      <c r="E828" s="748"/>
      <c r="F828" s="748"/>
      <c r="G828" s="828"/>
      <c r="H828" s="829" t="s">
        <v>35</v>
      </c>
      <c r="I828" s="505">
        <f ca="1">IFERROR(__xludf.DUMMYFUNCTION("IMPORTRANGE(""https://docs.google.com/spreadsheets/d/19vJNZY_5yjcGF2XGBMNZRCAIB0Kwfpjp8YEOfu-bneM/edit?usp=sharing"",""งานกองทุน!R86"")"),67)</f>
        <v>67</v>
      </c>
      <c r="J828" s="505">
        <f ca="1">IFERROR(__xludf.DUMMYFUNCTION("IMPORTRANGE(""https://docs.google.com/spreadsheets/d/19vJNZY_5yjcGF2XGBMNZRCAIB0Kwfpjp8YEOfu-bneM/edit?usp=sharing"",""งานกองทุน!T86"")"),46)</f>
        <v>46</v>
      </c>
      <c r="K828" s="506">
        <f t="shared" ca="1" si="113"/>
        <v>68.656716417910445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 gridLines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5F37D-7E00-416A-9427-8C555B7599B6}">
  <sheetPr>
    <outlinePr summaryBelow="0" summaryRight="0"/>
    <pageSetUpPr fitToPage="1"/>
  </sheetPr>
  <dimension ref="A1:Z828"/>
  <sheetViews>
    <sheetView view="pageBreakPreview" zoomScale="50" zoomScaleNormal="10" zoomScaleSheetLayoutView="50" workbookViewId="0">
      <pane ySplit="6" topLeftCell="A21" activePane="bottomLeft" state="frozen"/>
      <selection activeCell="X18" sqref="X18:X21"/>
      <selection pane="bottomLeft" activeCell="X18" sqref="X18:X2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7109375" bestFit="1" customWidth="1"/>
    <col min="11" max="11" width="13" bestFit="1" customWidth="1"/>
    <col min="12" max="14" width="22.140625" bestFit="1" customWidth="1"/>
    <col min="15" max="15" width="20.140625" bestFit="1" customWidth="1"/>
    <col min="16" max="16" width="22" bestFit="1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352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354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4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2300726</v>
      </c>
      <c r="M8" s="21">
        <f ca="1">M9+M10</f>
        <v>2672392</v>
      </c>
      <c r="N8" s="21">
        <f ca="1">N9+N10</f>
        <v>2672392</v>
      </c>
      <c r="O8" s="21">
        <f t="shared" ref="O8:O16" ca="1" si="0">IF(L8&gt;0,N8*100/L8,0)</f>
        <v>116.15429216690731</v>
      </c>
      <c r="P8" s="21">
        <f t="shared" ref="P8:P16" ca="1" si="1">IF(M8&gt;0,N8*100/M8,0)</f>
        <v>100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2300726</v>
      </c>
      <c r="M10" s="29">
        <f t="shared" ca="1" si="2"/>
        <v>2672392</v>
      </c>
      <c r="N10" s="29">
        <f t="shared" ca="1" si="2"/>
        <v>2672392</v>
      </c>
      <c r="O10" s="29">
        <f t="shared" ca="1" si="0"/>
        <v>116.15429216690731</v>
      </c>
      <c r="P10" s="29">
        <f t="shared" ca="1" si="1"/>
        <v>100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22" t="s">
        <v>12</v>
      </c>
      <c r="I11" s="269"/>
      <c r="J11" s="269"/>
      <c r="K11" s="497"/>
      <c r="L11" s="497">
        <f ca="1">L12+L13</f>
        <v>2224726</v>
      </c>
      <c r="M11" s="497">
        <f ca="1">M12+M13</f>
        <v>2560892</v>
      </c>
      <c r="N11" s="497">
        <f ca="1">N12+N13</f>
        <v>2560892</v>
      </c>
      <c r="O11" s="497">
        <f t="shared" ca="1" si="0"/>
        <v>115.11044506154916</v>
      </c>
      <c r="P11" s="497">
        <f t="shared" ca="1" si="1"/>
        <v>100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6"/>
      <c r="J12" s="616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6"/>
      <c r="J13" s="616"/>
      <c r="K13" s="92"/>
      <c r="L13" s="92">
        <f t="shared" ca="1" si="3"/>
        <v>2224726</v>
      </c>
      <c r="M13" s="92">
        <f t="shared" ca="1" si="3"/>
        <v>2560892</v>
      </c>
      <c r="N13" s="92">
        <f t="shared" ca="1" si="3"/>
        <v>2560892</v>
      </c>
      <c r="O13" s="92">
        <f t="shared" ca="1" si="0"/>
        <v>115.11044506154916</v>
      </c>
      <c r="P13" s="92">
        <f t="shared" ca="1" si="1"/>
        <v>100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22" t="s">
        <v>12</v>
      </c>
      <c r="I14" s="269"/>
      <c r="J14" s="269"/>
      <c r="K14" s="497"/>
      <c r="L14" s="497">
        <f ca="1">L15+L16</f>
        <v>76000</v>
      </c>
      <c r="M14" s="497">
        <f ca="1">M15+M16</f>
        <v>111500</v>
      </c>
      <c r="N14" s="497">
        <f ca="1">N15+N16</f>
        <v>111500</v>
      </c>
      <c r="O14" s="497">
        <f t="shared" ca="1" si="0"/>
        <v>146.71052631578948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6"/>
      <c r="J15" s="616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76000</v>
      </c>
      <c r="M16" s="51">
        <f t="shared" ca="1" si="4"/>
        <v>111500</v>
      </c>
      <c r="N16" s="51">
        <f t="shared" ca="1" si="4"/>
        <v>111500</v>
      </c>
      <c r="O16" s="51">
        <f t="shared" ca="1" si="0"/>
        <v>146.71052631578948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1869190</v>
      </c>
      <c r="M18" s="21">
        <f ca="1">M19+M20</f>
        <v>2227880</v>
      </c>
      <c r="N18" s="21">
        <f ca="1">N19+N20</f>
        <v>2227880</v>
      </c>
      <c r="O18" s="21">
        <f t="shared" ref="O18:O26" ca="1" si="5">IF(L18&gt;0,N18*100/L18,0)</f>
        <v>119.18959549323503</v>
      </c>
      <c r="P18" s="21">
        <f t="shared" ref="P18:P26" ca="1" si="6">IF(M18&gt;0,N18*100/M18,0)</f>
        <v>100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1869190</v>
      </c>
      <c r="M20" s="29">
        <f t="shared" ca="1" si="7"/>
        <v>2227880</v>
      </c>
      <c r="N20" s="29">
        <f t="shared" ca="1" si="7"/>
        <v>2227880</v>
      </c>
      <c r="O20" s="29">
        <f t="shared" ca="1" si="5"/>
        <v>119.18959549323503</v>
      </c>
      <c r="P20" s="29">
        <f t="shared" ca="1" si="6"/>
        <v>100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22" t="s">
        <v>12</v>
      </c>
      <c r="I21" s="269"/>
      <c r="J21" s="269"/>
      <c r="K21" s="497"/>
      <c r="L21" s="497">
        <f ca="1">L22+L23</f>
        <v>1793190</v>
      </c>
      <c r="M21" s="497">
        <f ca="1">M22+M23</f>
        <v>2116380</v>
      </c>
      <c r="N21" s="497">
        <f ca="1">N22+N23</f>
        <v>2116380</v>
      </c>
      <c r="O21" s="497">
        <f t="shared" ca="1" si="5"/>
        <v>118.0231877269001</v>
      </c>
      <c r="P21" s="497">
        <f t="shared" ca="1" si="6"/>
        <v>100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6"/>
      <c r="J22" s="616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6"/>
      <c r="J23" s="616"/>
      <c r="K23" s="92"/>
      <c r="L23" s="92">
        <f t="shared" ca="1" si="8"/>
        <v>1793190</v>
      </c>
      <c r="M23" s="92">
        <f t="shared" ca="1" si="8"/>
        <v>2116380</v>
      </c>
      <c r="N23" s="92">
        <f t="shared" ca="1" si="8"/>
        <v>2116380</v>
      </c>
      <c r="O23" s="92">
        <f t="shared" ca="1" si="5"/>
        <v>118.0231877269001</v>
      </c>
      <c r="P23" s="92">
        <f t="shared" ca="1" si="6"/>
        <v>100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22" t="s">
        <v>12</v>
      </c>
      <c r="I24" s="269"/>
      <c r="J24" s="269"/>
      <c r="K24" s="497"/>
      <c r="L24" s="497">
        <f ca="1">L25+L26</f>
        <v>76000</v>
      </c>
      <c r="M24" s="497">
        <f ca="1">M25+M26</f>
        <v>111500</v>
      </c>
      <c r="N24" s="497">
        <f ca="1">N25+N26</f>
        <v>111500</v>
      </c>
      <c r="O24" s="497">
        <f t="shared" ca="1" si="5"/>
        <v>146.71052631578948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6"/>
      <c r="J25" s="616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76000</v>
      </c>
      <c r="M26" s="51">
        <f t="shared" ca="1" si="9"/>
        <v>111500</v>
      </c>
      <c r="N26" s="51">
        <f t="shared" ca="1" si="9"/>
        <v>111500</v>
      </c>
      <c r="O26" s="51">
        <f t="shared" ca="1" si="5"/>
        <v>146.71052631578948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431536</v>
      </c>
      <c r="M28" s="21">
        <f ca="1">M29+M30</f>
        <v>444512</v>
      </c>
      <c r="N28" s="21">
        <f>N29+N30</f>
        <v>444512</v>
      </c>
      <c r="O28" s="21">
        <f t="shared" ref="O28:O37" ca="1" si="10">IF(L28&gt;0,N28*100/L28,0)</f>
        <v>103.00693337288199</v>
      </c>
      <c r="P28" s="21">
        <f t="shared" ref="P28:P37" ca="1" si="11">IF(M28&gt;0,N28*100/M28,0)</f>
        <v>100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431536</v>
      </c>
      <c r="M30" s="29">
        <f t="shared" ca="1" si="12"/>
        <v>444512</v>
      </c>
      <c r="N30" s="29">
        <f t="shared" si="12"/>
        <v>444512</v>
      </c>
      <c r="O30" s="29">
        <f t="shared" ca="1" si="10"/>
        <v>103.00693337288199</v>
      </c>
      <c r="P30" s="29">
        <f t="shared" ca="1" si="11"/>
        <v>100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22" t="s">
        <v>12</v>
      </c>
      <c r="I31" s="269"/>
      <c r="J31" s="269"/>
      <c r="K31" s="497"/>
      <c r="L31" s="497">
        <f ca="1">L32+L33</f>
        <v>431536</v>
      </c>
      <c r="M31" s="497">
        <f ca="1">M32+M33</f>
        <v>444512</v>
      </c>
      <c r="N31" s="497">
        <f>N32+N33</f>
        <v>444512</v>
      </c>
      <c r="O31" s="497">
        <f t="shared" ca="1" si="10"/>
        <v>103.00693337288199</v>
      </c>
      <c r="P31" s="497">
        <f t="shared" ca="1" si="11"/>
        <v>100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6"/>
      <c r="J32" s="616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6"/>
      <c r="J33" s="616"/>
      <c r="K33" s="92"/>
      <c r="L33" s="92">
        <f t="shared" ca="1" si="13"/>
        <v>431536</v>
      </c>
      <c r="M33" s="92">
        <f t="shared" ca="1" si="13"/>
        <v>444512</v>
      </c>
      <c r="N33" s="92">
        <f t="shared" si="13"/>
        <v>444512</v>
      </c>
      <c r="O33" s="92">
        <f t="shared" ca="1" si="10"/>
        <v>103.00693337288199</v>
      </c>
      <c r="P33" s="92">
        <f t="shared" ca="1" si="11"/>
        <v>100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22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6"/>
      <c r="J35" s="616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868" t="s">
        <v>24</v>
      </c>
      <c r="B37" s="867"/>
      <c r="C37" s="867"/>
      <c r="D37" s="867"/>
      <c r="E37" s="867"/>
      <c r="F37" s="867"/>
      <c r="G37" s="866"/>
      <c r="H37" s="865"/>
      <c r="I37" s="864"/>
      <c r="J37" s="864"/>
      <c r="K37" s="863"/>
      <c r="L37" s="862">
        <f ca="1">L41+L53+L66+L88+L119+L132+L149+L165+L181+L261+L277+L298+L315+L328+L345+L389+L402</f>
        <v>1869190</v>
      </c>
      <c r="M37" s="862">
        <f ca="1">M41+M53+M66+M88+M119+M132+M149+M165+M181+M261+M277+M298+M315+M328+M345+M389+M402</f>
        <v>2227880</v>
      </c>
      <c r="N37" s="862">
        <f ca="1">N41+N53+N66+N88+N119+N132+N149+N165+N181+N261+N277+N298+N315+N328+N345+N389+N402</f>
        <v>2227880</v>
      </c>
      <c r="O37" s="862">
        <f t="shared" ca="1" si="10"/>
        <v>119.18959549323503</v>
      </c>
      <c r="P37" s="862">
        <f t="shared" ca="1" si="11"/>
        <v>100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9" t="s">
        <v>27</v>
      </c>
      <c r="C40" s="888"/>
      <c r="D40" s="888"/>
      <c r="E40" s="888"/>
      <c r="F40" s="888"/>
      <c r="G40" s="894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1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334650</v>
      </c>
      <c r="M41" s="84">
        <f ca="1">M42+M43</f>
        <v>424670</v>
      </c>
      <c r="N41" s="84">
        <f ca="1">N42+N43</f>
        <v>424670</v>
      </c>
      <c r="O41" s="84">
        <f t="shared" ref="O41:O49" ca="1" si="15">IF(L41&gt;0,N41*100/L41,0)</f>
        <v>126.89974600328702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334650</v>
      </c>
      <c r="M43" s="91">
        <f t="shared" ca="1" si="17"/>
        <v>424670</v>
      </c>
      <c r="N43" s="91">
        <f t="shared" ca="1" si="17"/>
        <v>424670</v>
      </c>
      <c r="O43" s="91">
        <f t="shared" ca="1" si="15"/>
        <v>126.89974600328702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22" t="s">
        <v>12</v>
      </c>
      <c r="I44" s="269"/>
      <c r="J44" s="269"/>
      <c r="K44" s="497"/>
      <c r="L44" s="497">
        <f ca="1">L45+L46</f>
        <v>334650</v>
      </c>
      <c r="M44" s="497">
        <f ca="1">M45+M46</f>
        <v>424670</v>
      </c>
      <c r="N44" s="497">
        <f ca="1">N45+N46</f>
        <v>424670</v>
      </c>
      <c r="O44" s="497">
        <f t="shared" ca="1" si="15"/>
        <v>126.89974600328702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6"/>
      <c r="J45" s="616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6"/>
      <c r="J46" s="616"/>
      <c r="K46" s="92"/>
      <c r="L46" s="92">
        <f ca="1">IFERROR(__xludf.DUMMYFUNCTION("IMPORTRANGE(""https://docs.google.com/spreadsheets/d/1MeEWN-I1oV_STSDYn1IFDPWt_1FKiwhDph83XaGc0o0/edit?usp=sharing"",""งบพรบ!M87"")"),334650)</f>
        <v>334650</v>
      </c>
      <c r="M46" s="92">
        <f ca="1">IFERROR(__xludf.DUMMYFUNCTION("IMPORTRANGE(""https://docs.google.com/spreadsheets/d/1MeEWN-I1oV_STSDYn1IFDPWt_1FKiwhDph83XaGc0o0/edit?usp=sharing"",""งบพรบ!R87"")"),424670)</f>
        <v>424670</v>
      </c>
      <c r="N46" s="92">
        <f ca="1">IFERROR(__xludf.DUMMYFUNCTION("IMPORTRANGE(""https://docs.google.com/spreadsheets/d/1MeEWN-I1oV_STSDYn1IFDPWt_1FKiwhDph83XaGc0o0/edit?usp=sharing"",""งบพรบ!T87"")"),424670)</f>
        <v>424670</v>
      </c>
      <c r="O46" s="92">
        <f t="shared" ca="1" si="15"/>
        <v>126.89974600328702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22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6"/>
      <c r="J48" s="616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IFERROR(__xludf.DUMMYFUNCTION("IMPORTRANGE(""https://docs.google.com/spreadsheets/d/1MeEWN-I1oV_STSDYn1IFDPWt_1FKiwhDph83XaGc0o0/edit?usp=sharing"",""งบพรบ!P87"")"),0)</f>
        <v>0</v>
      </c>
      <c r="M49" s="51">
        <f ca="1">IFERROR(__xludf.DUMMYFUNCTION("IMPORTRANGE(""https://docs.google.com/spreadsheets/d/1MeEWN-I1oV_STSDYn1IFDPWt_1FKiwhDph83XaGc0o0/edit?usp=sharing"",""งบพรบ!S87"")"),0)</f>
        <v>0</v>
      </c>
      <c r="N49" s="51">
        <f ca="1">IFERROR(__xludf.DUMMYFUNCTION("IMPORTRANGE(""https://docs.google.com/spreadsheets/d/1MeEWN-I1oV_STSDYn1IFDPWt_1FKiwhDph83XaGc0o0/edit?usp=sharing"",""งบพรบ!U87"")"),0)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3" t="s">
        <v>29</v>
      </c>
      <c r="C51" s="888"/>
      <c r="D51" s="888"/>
      <c r="E51" s="888"/>
      <c r="F51" s="888"/>
      <c r="G51" s="894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310500</v>
      </c>
      <c r="M53" s="115">
        <f ca="1">M54+M55</f>
        <v>366500</v>
      </c>
      <c r="N53" s="115">
        <f ca="1">N54+N55</f>
        <v>366500</v>
      </c>
      <c r="O53" s="115">
        <f t="shared" ref="O53:O61" ca="1" si="18">IF(L53&gt;0,N53*100/L53,0)</f>
        <v>118.0354267310789</v>
      </c>
      <c r="P53" s="115">
        <f t="shared" ref="P53:P61" ca="1" si="19">IF(M53&gt;0,N53*100/M53,0)</f>
        <v>100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310500</v>
      </c>
      <c r="M55" s="122">
        <f t="shared" ca="1" si="20"/>
        <v>366500</v>
      </c>
      <c r="N55" s="122">
        <f t="shared" ca="1" si="20"/>
        <v>366500</v>
      </c>
      <c r="O55" s="122">
        <f t="shared" ca="1" si="18"/>
        <v>118.0354267310789</v>
      </c>
      <c r="P55" s="122">
        <f t="shared" ca="1" si="19"/>
        <v>100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22" t="s">
        <v>12</v>
      </c>
      <c r="I56" s="269"/>
      <c r="J56" s="269"/>
      <c r="K56" s="497"/>
      <c r="L56" s="497">
        <f ca="1">L57+L58</f>
        <v>310500</v>
      </c>
      <c r="M56" s="497">
        <f ca="1">M57+M58</f>
        <v>331000</v>
      </c>
      <c r="N56" s="497">
        <f ca="1">N57+N58</f>
        <v>331000</v>
      </c>
      <c r="O56" s="497">
        <f t="shared" ca="1" si="18"/>
        <v>106.60225442834138</v>
      </c>
      <c r="P56" s="497">
        <f t="shared" ca="1" si="19"/>
        <v>100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6"/>
      <c r="J57" s="616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6"/>
      <c r="J58" s="616"/>
      <c r="K58" s="92"/>
      <c r="L58" s="92">
        <f ca="1">IFERROR(__xludf.DUMMYFUNCTION("IMPORTRANGE(""https://docs.google.com/spreadsheets/d/1MeEWN-I1oV_STSDYn1IFDPWt_1FKiwhDph83XaGc0o0/edit?usp=sharing"",""งบพรบ!W87"")"),310500)</f>
        <v>310500</v>
      </c>
      <c r="M58" s="92">
        <f ca="1">IFERROR(__xludf.DUMMYFUNCTION("IMPORTRANGE(""https://docs.google.com/spreadsheets/d/1MeEWN-I1oV_STSDYn1IFDPWt_1FKiwhDph83XaGc0o0/edit?usp=sharing"",""งบพรบ!AB87"")"),331000)</f>
        <v>331000</v>
      </c>
      <c r="N58" s="92">
        <f ca="1">IFERROR(__xludf.DUMMYFUNCTION("IMPORTRANGE(""https://docs.google.com/spreadsheets/d/1MeEWN-I1oV_STSDYn1IFDPWt_1FKiwhDph83XaGc0o0/edit?usp=sharing"",""งบพรบ!AD87"")"),331000)</f>
        <v>331000</v>
      </c>
      <c r="O58" s="92">
        <f t="shared" ca="1" si="18"/>
        <v>106.60225442834138</v>
      </c>
      <c r="P58" s="92">
        <f t="shared" ca="1" si="19"/>
        <v>100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22" t="s">
        <v>12</v>
      </c>
      <c r="I59" s="269"/>
      <c r="J59" s="269"/>
      <c r="K59" s="497"/>
      <c r="L59" s="497">
        <f ca="1">L60+L61</f>
        <v>0</v>
      </c>
      <c r="M59" s="497">
        <f ca="1">M60+M61</f>
        <v>35500</v>
      </c>
      <c r="N59" s="497">
        <f ca="1">N60+N61</f>
        <v>35500</v>
      </c>
      <c r="O59" s="497">
        <f t="shared" ca="1" si="18"/>
        <v>0</v>
      </c>
      <c r="P59" s="497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6"/>
      <c r="J60" s="616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IFERROR(__xludf.DUMMYFUNCTION("IMPORTRANGE(""https://docs.google.com/spreadsheets/d/1MeEWN-I1oV_STSDYn1IFDPWt_1FKiwhDph83XaGc0o0/edit?usp=sharing"",""งบพรบ!Z87"")"),0)</f>
        <v>0</v>
      </c>
      <c r="M61" s="51">
        <f ca="1">IFERROR(__xludf.DUMMYFUNCTION("IMPORTRANGE(""https://docs.google.com/spreadsheets/d/1MeEWN-I1oV_STSDYn1IFDPWt_1FKiwhDph83XaGc0o0/edit?usp=sharing"",""งบพรบ!AC87"")"),35500)</f>
        <v>35500</v>
      </c>
      <c r="N61" s="51">
        <f ca="1">IFERROR(__xludf.DUMMYFUNCTION("IMPORTRANGE(""https://docs.google.com/spreadsheets/d/1MeEWN-I1oV_STSDYn1IFDPWt_1FKiwhDph83XaGc0o0/edit?usp=sharing"",""งบพรบ!AE87"")"),35500)</f>
        <v>35500</v>
      </c>
      <c r="O61" s="51">
        <f t="shared" ca="1" si="18"/>
        <v>0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46" t="s">
        <v>17</v>
      </c>
      <c r="E66" s="147"/>
      <c r="F66" s="147"/>
      <c r="G66" s="150"/>
      <c r="H66" s="151" t="s">
        <v>12</v>
      </c>
      <c r="I66" s="420"/>
      <c r="J66" s="420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6"/>
      <c r="J67" s="616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6"/>
      <c r="J68" s="616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IFERROR(__xludf.DUMMYFUNCTION("IMPORTRANGE(""https://docs.google.com/spreadsheets/d/1MeEWN-I1oV_STSDYn1IFDPWt_1FKiwhDph83XaGc0o0/edit?usp=sharing"",""งบพรบ!AG87"")"),0)</f>
        <v>0</v>
      </c>
      <c r="M71" s="92">
        <f ca="1">IFERROR(__xludf.DUMMYFUNCTION("IMPORTRANGE(""https://docs.google.com/spreadsheets/d/1MeEWN-I1oV_STSDYn1IFDPWt_1FKiwhDph83XaGc0o0/edit?usp=sharing"",""งบพรบ!AL87"")"),0)</f>
        <v>0</v>
      </c>
      <c r="N71" s="92">
        <f ca="1">IFERROR(__xludf.DUMMYFUNCTION("IMPORTRANGE(""https://docs.google.com/spreadsheets/d/1MeEWN-I1oV_STSDYn1IFDPWt_1FKiwhDph83XaGc0o0/edit?usp=sharing"",""งบพรบ!AN87"")"),0)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IFERROR(__xludf.DUMMYFUNCTION("IMPORTRANGE(""https://docs.google.com/spreadsheets/d/1MeEWN-I1oV_STSDYn1IFDPWt_1FKiwhDph83XaGc0o0/edit?usp=sharing"",""งบพรบ!AJ87"")"),0)</f>
        <v>0</v>
      </c>
      <c r="M74" s="92">
        <f ca="1">IFERROR(__xludf.DUMMYFUNCTION("IMPORTRANGE(""https://docs.google.com/spreadsheets/d/1MeEWN-I1oV_STSDYn1IFDPWt_1FKiwhDph83XaGc0o0/edit?usp=sharing"",""งบพรบ!AM87"")"),0)</f>
        <v>0</v>
      </c>
      <c r="N74" s="92">
        <f ca="1">IFERROR(__xludf.DUMMYFUNCTION("IMPORTRANGE(""https://docs.google.com/spreadsheets/d/1MeEWN-I1oV_STSDYn1IFDPWt_1FKiwhDph83XaGc0o0/edit?usp=sharing"",""งบพรบ!AO87"")"),0)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47" t="s">
        <v>38</v>
      </c>
      <c r="E75" s="172"/>
      <c r="F75" s="172"/>
      <c r="G75" s="173"/>
      <c r="H75" s="761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7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7" t="s">
        <v>40</v>
      </c>
      <c r="F78" s="447"/>
      <c r="G78" s="178"/>
      <c r="H78" s="763" t="s">
        <v>34</v>
      </c>
      <c r="I78" s="183">
        <f ca="1">IFERROR(__xludf.DUMMYFUNCTION("IMPORTRANGE(""https://docs.google.com/spreadsheets/d/1QqKyyYR6Q21VydFLVH3TRQUabQu_ym0Zz7PgGX0-kHA/edit?usp=sharing"",""แผน!H87"")"),0)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63" t="s">
        <v>35</v>
      </c>
      <c r="I79" s="183">
        <f ca="1">IFERROR(__xludf.DUMMYFUNCTION("IMPORTRANGE(""https://docs.google.com/spreadsheets/d/1QqKyyYR6Q21VydFLVH3TRQUabQu_ym0Zz7PgGX0-kHA/edit?usp=sharing"",""แผน!I87"")"),0)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7" t="s">
        <v>41</v>
      </c>
      <c r="F80" s="447"/>
      <c r="G80" s="178"/>
      <c r="H80" s="763" t="s">
        <v>34</v>
      </c>
      <c r="I80" s="183">
        <f ca="1">IFERROR(__xludf.DUMMYFUNCTION("IMPORTRANGE(""https://docs.google.com/spreadsheets/d/1QqKyyYR6Q21VydFLVH3TRQUabQu_ym0Zz7PgGX0-kHA/edit?usp=sharing"",""แผน!F87"")"),0)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63" t="s">
        <v>35</v>
      </c>
      <c r="I81" s="183">
        <f ca="1">IFERROR(__xludf.DUMMYFUNCTION("IMPORTRANGE(""https://docs.google.com/spreadsheets/d/1QqKyyYR6Q21VydFLVH3TRQUabQu_ym0Zz7PgGX0-kHA/edit?usp=sharing"",""แผน!G87"")"),0)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7" t="s">
        <v>42</v>
      </c>
      <c r="F82" s="447"/>
      <c r="G82" s="178"/>
      <c r="H82" s="763" t="s">
        <v>34</v>
      </c>
      <c r="I82" s="183">
        <f ca="1">IFERROR(__xludf.DUMMYFUNCTION("IMPORTRANGE(""https://docs.google.com/spreadsheets/d/1QqKyyYR6Q21VydFLVH3TRQUabQu_ym0Zz7PgGX0-kHA/edit?usp=sharing"",""แผน!D87"")"),0)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63" t="s">
        <v>35</v>
      </c>
      <c r="I83" s="183">
        <f ca="1">IFERROR(__xludf.DUMMYFUNCTION("IMPORTRANGE(""https://docs.google.com/spreadsheets/d/1QqKyyYR6Q21VydFLVH3TRQUabQu_ym0Zz7PgGX0-kHA/edit?usp=sharing"",""แผน!E87"")"),0)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7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IFERROR(__xludf.DUMMYFUNCTION("IMPORTRANGE(""https://docs.google.com/spreadsheets/d/1QqKyyYR6Q21VydFLVH3TRQUabQu_ym0Zz7PgGX0-kHA/edit?usp=sharing"",""แผน!J87"")"),0)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0</v>
      </c>
      <c r="J86" s="143">
        <f>J98</f>
        <v>0</v>
      </c>
      <c r="K86" s="144">
        <f ca="1">IF(I86&gt;0,J86*100/I86,0)</f>
        <v>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0</v>
      </c>
      <c r="J87" s="143">
        <f>J99</f>
        <v>0</v>
      </c>
      <c r="K87" s="144">
        <f ca="1">IF(I87&gt;0,J87*100/I87,0)</f>
        <v>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46" t="s">
        <v>17</v>
      </c>
      <c r="E88" s="147"/>
      <c r="F88" s="147"/>
      <c r="G88" s="150"/>
      <c r="H88" s="151" t="s">
        <v>12</v>
      </c>
      <c r="I88" s="420"/>
      <c r="J88" s="420"/>
      <c r="K88" s="153"/>
      <c r="L88" s="154">
        <f ca="1">L89+L90</f>
        <v>462300</v>
      </c>
      <c r="M88" s="154">
        <f ca="1">M89+M90</f>
        <v>462300</v>
      </c>
      <c r="N88" s="154">
        <f ca="1">N89+N90</f>
        <v>462300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6"/>
      <c r="J89" s="616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6"/>
      <c r="J90" s="616"/>
      <c r="K90" s="92"/>
      <c r="L90" s="92">
        <f t="shared" ca="1" si="27"/>
        <v>462300</v>
      </c>
      <c r="M90" s="92">
        <f t="shared" ca="1" si="27"/>
        <v>462300</v>
      </c>
      <c r="N90" s="92">
        <f t="shared" ca="1" si="27"/>
        <v>462300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462300</v>
      </c>
      <c r="M91" s="497">
        <f ca="1">M92+M93</f>
        <v>462300</v>
      </c>
      <c r="N91" s="497">
        <f ca="1">N92+N93</f>
        <v>462300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IFERROR(__xludf.DUMMYFUNCTION("IMPORTRANGE(""https://docs.google.com/spreadsheets/d/1MeEWN-I1oV_STSDYn1IFDPWt_1FKiwhDph83XaGc0o0/edit?usp=sharing"",""งบพรบ!AQ87"")"),462300)</f>
        <v>462300</v>
      </c>
      <c r="M93" s="92">
        <f ca="1">IFERROR(__xludf.DUMMYFUNCTION("IMPORTRANGE(""https://docs.google.com/spreadsheets/d/1MeEWN-I1oV_STSDYn1IFDPWt_1FKiwhDph83XaGc0o0/edit?usp=sharing"",""งบพรบ!AV87"")"),462300)</f>
        <v>462300</v>
      </c>
      <c r="N93" s="92">
        <f ca="1">IFERROR(__xludf.DUMMYFUNCTION("IMPORTRANGE(""https://docs.google.com/spreadsheets/d/1MeEWN-I1oV_STSDYn1IFDPWt_1FKiwhDph83XaGc0o0/edit?usp=sharing"",""งบพรบ!AX87"")"),462300)</f>
        <v>462300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IFERROR(__xludf.DUMMYFUNCTION("IMPORTRANGE(""https://docs.google.com/spreadsheets/d/1MeEWN-I1oV_STSDYn1IFDPWt_1FKiwhDph83XaGc0o0/edit?usp=sharing"",""งบพรบ!AT87"")"),0)</f>
        <v>0</v>
      </c>
      <c r="M96" s="92">
        <f ca="1">IFERROR(__xludf.DUMMYFUNCTION("IMPORTRANGE(""https://docs.google.com/spreadsheets/d/1MeEWN-I1oV_STSDYn1IFDPWt_1FKiwhDph83XaGc0o0/edit?usp=sharing"",""งบพรบ!AW87"")"),0)</f>
        <v>0</v>
      </c>
      <c r="N96" s="92">
        <f ca="1">IFERROR(__xludf.DUMMYFUNCTION("IMPORTRANGE(""https://docs.google.com/spreadsheets/d/1MeEWN-I1oV_STSDYn1IFDPWt_1FKiwhDph83XaGc0o0/edit?usp=sharing"",""งบพรบ!AY87"")"),0)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47" t="s">
        <v>38</v>
      </c>
      <c r="E97" s="172"/>
      <c r="F97" s="172"/>
      <c r="G97" s="173"/>
      <c r="H97" s="761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7" t="s">
        <v>47</v>
      </c>
      <c r="E98" s="447"/>
      <c r="F98" s="177"/>
      <c r="G98" s="178"/>
      <c r="H98" s="622" t="s">
        <v>46</v>
      </c>
      <c r="I98" s="269">
        <f ca="1">IFERROR(__xludf.DUMMYFUNCTION("IMPORTRANGE(""https://docs.google.com/spreadsheets/d/1QqKyyYR6Q21VydFLVH3TRQUabQu_ym0Zz7PgGX0-kHA/edit?usp=sharing"",""แผน!K87"")"),0)</f>
        <v>0</v>
      </c>
      <c r="J98" s="269">
        <f>J102</f>
        <v>0</v>
      </c>
      <c r="K98" s="497">
        <f ca="1">IF(I98&gt;0,J98*100/I98,0)</f>
        <v>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7" t="s">
        <v>48</v>
      </c>
      <c r="E99" s="447"/>
      <c r="F99" s="177"/>
      <c r="G99" s="178"/>
      <c r="H99" s="622" t="s">
        <v>35</v>
      </c>
      <c r="I99" s="269">
        <f ca="1">IFERROR(__xludf.DUMMYFUNCTION("IMPORTRANGE(""https://docs.google.com/spreadsheets/d/1QqKyyYR6Q21VydFLVH3TRQUabQu_ym0Zz7PgGX0-kHA/edit?usp=sharing"",""แผน!L87"")"),0)</f>
        <v>0</v>
      </c>
      <c r="J99" s="269">
        <f>J104</f>
        <v>0</v>
      </c>
      <c r="K99" s="497">
        <f ca="1">IF(I99&gt;0,J99*100/I99,0)</f>
        <v>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22" t="s">
        <v>49</v>
      </c>
      <c r="I100" s="269">
        <f ca="1">IFERROR(__xludf.DUMMYFUNCTION("IMPORTRANGE(""https://docs.google.com/spreadsheets/d/1QqKyyYR6Q21VydFLVH3TRQUabQu_ym0Zz7PgGX0-kHA/edit?usp=sharing"",""แผน!M87"")"),1)</f>
        <v>1</v>
      </c>
      <c r="J100" s="269">
        <f>J107+J110</f>
        <v>1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22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5" t="s">
        <v>47</v>
      </c>
      <c r="F102" s="177"/>
      <c r="G102" s="178"/>
      <c r="H102" s="622" t="s">
        <v>46</v>
      </c>
      <c r="I102" s="269">
        <f ca="1">IFERROR(__xludf.DUMMYFUNCTION("IMPORTRANGE(""https://docs.google.com/spreadsheets/d/1QqKyyYR6Q21VydFLVH3TRQUabQu_ym0Zz7PgGX0-kHA/edit?usp=sharing"",""แผน!N87"")"),0)</f>
        <v>0</v>
      </c>
      <c r="J102" s="214">
        <v>0</v>
      </c>
      <c r="K102" s="497">
        <f ca="1">IF(I102&gt;0,J102*100/I102,0)</f>
        <v>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7" t="s">
        <v>51</v>
      </c>
      <c r="F103" s="177"/>
      <c r="G103" s="178"/>
      <c r="H103" s="622" t="s">
        <v>35</v>
      </c>
      <c r="I103" s="269">
        <f ca="1">IFERROR(__xludf.DUMMYFUNCTION("IMPORTRANGE(""https://docs.google.com/spreadsheets/d/1QqKyyYR6Q21VydFLVH3TRQUabQu_ym0Zz7PgGX0-kHA/edit?usp=sharing"",""แผน!O87"")"),0)</f>
        <v>0</v>
      </c>
      <c r="J103" s="214">
        <v>0</v>
      </c>
      <c r="K103" s="497">
        <f ca="1">IF(I103&gt;0,J103*100/I103,0)</f>
        <v>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22" t="s">
        <v>35</v>
      </c>
      <c r="I104" s="269">
        <f ca="1">IFERROR(__xludf.DUMMYFUNCTION("IMPORTRANGE(""https://docs.google.com/spreadsheets/d/1QqKyyYR6Q21VydFLVH3TRQUabQu_ym0Zz7PgGX0-kHA/edit?usp=sharing"",""แผน!O87"")"),0)</f>
        <v>0</v>
      </c>
      <c r="J104" s="214">
        <v>0</v>
      </c>
      <c r="K104" s="497">
        <f ca="1">IF(I104&gt;0,J104*100/I104,0)</f>
        <v>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7" t="s">
        <v>54</v>
      </c>
      <c r="F106" s="177"/>
      <c r="G106" s="178"/>
      <c r="H106" s="622" t="s">
        <v>49</v>
      </c>
      <c r="I106" s="269">
        <f ca="1">IFERROR(__xludf.DUMMYFUNCTION("IMPORTRANGE(""https://docs.google.com/spreadsheets/d/1QqKyyYR6Q21VydFLVH3TRQUabQu_ym0Zz7PgGX0-kHA/edit?usp=sharing"",""แผน!P87"")"),1)</f>
        <v>1</v>
      </c>
      <c r="J106" s="21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22" t="s">
        <v>49</v>
      </c>
      <c r="I107" s="269">
        <f ca="1">IFERROR(__xludf.DUMMYFUNCTION("IMPORTRANGE(""https://docs.google.com/spreadsheets/d/1QqKyyYR6Q21VydFLVH3TRQUabQu_ym0Zz7PgGX0-kHA/edit?usp=sharing"",""แผน!P87"")"),1)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7" t="s">
        <v>57</v>
      </c>
      <c r="F109" s="177"/>
      <c r="G109" s="178"/>
      <c r="H109" s="622" t="s">
        <v>49</v>
      </c>
      <c r="I109" s="269">
        <f ca="1">IFERROR(__xludf.DUMMYFUNCTION("IMPORTRANGE(""https://docs.google.com/spreadsheets/d/1QqKyyYR6Q21VydFLVH3TRQUabQu_ym0Zz7PgGX0-kHA/edit?usp=sharing"",""แผน!Q87"")"),0)</f>
        <v>0</v>
      </c>
      <c r="J109" s="214">
        <v>0</v>
      </c>
      <c r="K109" s="497">
        <f t="shared" ref="K109:K116" ca="1" si="28">IF(I109&gt;0,J109*100/I109,0)</f>
        <v>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22" t="s">
        <v>49</v>
      </c>
      <c r="I110" s="269">
        <f ca="1">IFERROR(__xludf.DUMMYFUNCTION("IMPORTRANGE(""https://docs.google.com/spreadsheets/d/1QqKyyYR6Q21VydFLVH3TRQUabQu_ym0Zz7PgGX0-kHA/edit?usp=sharing"",""แผน!Q87"")"),0)</f>
        <v>0</v>
      </c>
      <c r="J110" s="214">
        <v>0</v>
      </c>
      <c r="K110" s="497">
        <f t="shared" ca="1" si="28"/>
        <v>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6" t="s">
        <v>35</v>
      </c>
      <c r="I111" s="192">
        <f ca="1">IFERROR(__xludf.DUMMYFUNCTION("IMPORTRANGE(""https://docs.google.com/spreadsheets/d/1QqKyyYR6Q21VydFLVH3TRQUabQu_ym0Zz7PgGX0-kHA/edit?usp=sharing"",""แผน!R87"")"),0)</f>
        <v>0</v>
      </c>
      <c r="J111" s="680">
        <f>J114</f>
        <v>0</v>
      </c>
      <c r="K111" s="194">
        <f t="shared" ca="1" si="28"/>
        <v>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1</v>
      </c>
      <c r="J112" s="680">
        <f>J115+J116</f>
        <v>1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31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IFERROR(__xludf.DUMMYFUNCTION("IMPORTRANGE(""https://docs.google.com/spreadsheets/d/1QqKyyYR6Q21VydFLVH3TRQUabQu_ym0Zz7PgGX0-kHA/edit?usp=sharing"",""แผน!R87"")"),0)</f>
        <v>0</v>
      </c>
      <c r="J113" s="214">
        <v>0</v>
      </c>
      <c r="K113" s="497">
        <f t="shared" ca="1" si="28"/>
        <v>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7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IFERROR(__xludf.DUMMYFUNCTION("IMPORTRANGE(""https://docs.google.com/spreadsheets/d/1QqKyyYR6Q21VydFLVH3TRQUabQu_ym0Zz7PgGX0-kHA/edit?usp=sharing"",""แผน!R87"")"),0)</f>
        <v>0</v>
      </c>
      <c r="J114" s="214">
        <v>0</v>
      </c>
      <c r="K114" s="497">
        <f t="shared" ca="1" si="28"/>
        <v>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7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IFERROR(__xludf.DUMMYFUNCTION("IMPORTRANGE(""https://docs.google.com/spreadsheets/d/1QqKyyYR6Q21VydFLVH3TRQUabQu_ym0Zz7PgGX0-kHA/edit?usp=sharing"",""แผน!S87"")"),1)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7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IFERROR(__xludf.DUMMYFUNCTION("IMPORTRANGE(""https://docs.google.com/spreadsheets/d/1QqKyyYR6Q21VydFLVH3TRQUabQu_ym0Zz7PgGX0-kHA/edit?usp=sharing"",""แผน!T87"")"),0)</f>
        <v>0</v>
      </c>
      <c r="J116" s="214">
        <v>0</v>
      </c>
      <c r="K116" s="497">
        <f t="shared" ca="1" si="28"/>
        <v>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46" t="s">
        <v>17</v>
      </c>
      <c r="E119" s="147"/>
      <c r="F119" s="147"/>
      <c r="G119" s="150"/>
      <c r="H119" s="151" t="s">
        <v>12</v>
      </c>
      <c r="I119" s="420"/>
      <c r="J119" s="420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6"/>
      <c r="J120" s="616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6"/>
      <c r="J121" s="616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IFERROR(__xludf.DUMMYFUNCTION("IMPORTRANGE(""https://docs.google.com/spreadsheets/d/1MeEWN-I1oV_STSDYn1IFDPWt_1FKiwhDph83XaGc0o0/edit?usp=sharing"",""งบพรบ!BA87"")"),0)</f>
        <v>0</v>
      </c>
      <c r="M124" s="92">
        <f ca="1">IFERROR(__xludf.DUMMYFUNCTION("IMPORTRANGE(""https://docs.google.com/spreadsheets/d/1MeEWN-I1oV_STSDYn1IFDPWt_1FKiwhDph83XaGc0o0/edit?usp=sharing"",""งบพรบ!BF87"")"),0)</f>
        <v>0</v>
      </c>
      <c r="N124" s="92">
        <f ca="1">IFERROR(__xludf.DUMMYFUNCTION("IMPORTRANGE(""https://docs.google.com/spreadsheets/d/1MeEWN-I1oV_STSDYn1IFDPWt_1FKiwhDph83XaGc0o0/edit?usp=sharing"",""งบพรบ!BH87"")"),0)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IFERROR(__xludf.DUMMYFUNCTION("IMPORTRANGE(""https://docs.google.com/spreadsheets/d/1MeEWN-I1oV_STSDYn1IFDPWt_1FKiwhDph83XaGc0o0/edit?usp=sharing"",""งบพรบ!BD87"")"),0)</f>
        <v>0</v>
      </c>
      <c r="M127" s="92">
        <f ca="1">IFERROR(__xludf.DUMMYFUNCTION("IMPORTRANGE(""https://docs.google.com/spreadsheets/d/1MeEWN-I1oV_STSDYn1IFDPWt_1FKiwhDph83XaGc0o0/edit?usp=sharing"",""งบพรบ!BG87"")"),0)</f>
        <v>0</v>
      </c>
      <c r="N127" s="92">
        <f ca="1">IFERROR(__xludf.DUMMYFUNCTION("IMPORTRANGE(""https://docs.google.com/spreadsheets/d/1MeEWN-I1oV_STSDYn1IFDPWt_1FKiwhDph83XaGc0o0/edit?usp=sharing"",""งบพรบ!BI87"")"),0)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46" t="s">
        <v>17</v>
      </c>
      <c r="E132" s="147"/>
      <c r="F132" s="147"/>
      <c r="G132" s="150"/>
      <c r="H132" s="151" t="s">
        <v>12</v>
      </c>
      <c r="I132" s="420"/>
      <c r="J132" s="420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6"/>
      <c r="J133" s="616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6"/>
      <c r="J134" s="616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IFERROR(__xludf.DUMMYFUNCTION("IMPORTRANGE(""https://docs.google.com/spreadsheets/d/1MeEWN-I1oV_STSDYn1IFDPWt_1FKiwhDph83XaGc0o0/edit?usp=sharing"",""งบพรบ!BK87"")"),0)</f>
        <v>0</v>
      </c>
      <c r="M137" s="92">
        <f ca="1">IFERROR(__xludf.DUMMYFUNCTION("IMPORTRANGE(""https://docs.google.com/spreadsheets/d/1MeEWN-I1oV_STSDYn1IFDPWt_1FKiwhDph83XaGc0o0/edit?usp=sharing"",""งบพรบ!BP87"")"),0)</f>
        <v>0</v>
      </c>
      <c r="N137" s="92">
        <f ca="1">IFERROR(__xludf.DUMMYFUNCTION("IMPORTRANGE(""https://docs.google.com/spreadsheets/d/1MeEWN-I1oV_STSDYn1IFDPWt_1FKiwhDph83XaGc0o0/edit?usp=sharing"",""งบพรบ!BR87"")"),0)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IFERROR(__xludf.DUMMYFUNCTION("IMPORTRANGE(""https://docs.google.com/spreadsheets/d/1MeEWN-I1oV_STSDYn1IFDPWt_1FKiwhDph83XaGc0o0/edit?usp=sharing"",""งบพรบ!BN87"")"),0)</f>
        <v>0</v>
      </c>
      <c r="M140" s="92">
        <f ca="1">IFERROR(__xludf.DUMMYFUNCTION("IMPORTRANGE(""https://docs.google.com/spreadsheets/d/1MeEWN-I1oV_STSDYn1IFDPWt_1FKiwhDph83XaGc0o0/edit?usp=sharing"",""งบพรบ!BQ87"")"),0)</f>
        <v>0</v>
      </c>
      <c r="N140" s="92">
        <f ca="1">IFERROR(__xludf.DUMMYFUNCTION("IMPORTRANGE(""https://docs.google.com/spreadsheets/d/1MeEWN-I1oV_STSDYn1IFDPWt_1FKiwhDph83XaGc0o0/edit?usp=sharing"",""งบพรบ!BS87"")"),0)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4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IFERROR(__xludf.DUMMYFUNCTION("IMPORTRANGE(""https://docs.google.com/spreadsheets/d/1QqKyyYR6Q21VydFLVH3TRQUabQu_ym0Zz7PgGX0-kHA/edit?usp=sharing"",""แผน!U87"")"),0)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IFERROR(__xludf.DUMMYFUNCTION("IMPORTRANGE(""https://docs.google.com/spreadsheets/d/1QqKyyYR6Q21VydFLVH3TRQUabQu_ym0Zz7PgGX0-kHA/edit?usp=sharing"",""แผน!V87"")"),0)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IFERROR(__xludf.DUMMYFUNCTION("IMPORTRANGE(""https://docs.google.com/spreadsheets/d/1QqKyyYR6Q21VydFLVH3TRQUabQu_ym0Zz7PgGX0-kHA/edit?usp=sharing"",""แผน!W87"")"),0)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59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46" t="s">
        <v>17</v>
      </c>
      <c r="E149" s="147"/>
      <c r="F149" s="147"/>
      <c r="G149" s="150"/>
      <c r="H149" s="151" t="s">
        <v>12</v>
      </c>
      <c r="I149" s="420"/>
      <c r="J149" s="420"/>
      <c r="K149" s="153"/>
      <c r="L149" s="154">
        <f ca="1">L150+L151</f>
        <v>0</v>
      </c>
      <c r="M149" s="154">
        <f ca="1">M150+M151</f>
        <v>11460</v>
      </c>
      <c r="N149" s="154">
        <f ca="1">N150+N151</f>
        <v>11460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6"/>
      <c r="J150" s="616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6"/>
      <c r="J151" s="616"/>
      <c r="K151" s="92"/>
      <c r="L151" s="92">
        <f t="shared" ca="1" si="37"/>
        <v>0</v>
      </c>
      <c r="M151" s="92">
        <f t="shared" ca="1" si="37"/>
        <v>11460</v>
      </c>
      <c r="N151" s="92">
        <f t="shared" ca="1" si="37"/>
        <v>11460</v>
      </c>
      <c r="O151" s="92">
        <f t="shared" ca="1" si="35"/>
        <v>0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11460</v>
      </c>
      <c r="N152" s="497">
        <f ca="1">N153+N154</f>
        <v>11460</v>
      </c>
      <c r="O152" s="497">
        <f t="shared" ca="1" si="35"/>
        <v>0</v>
      </c>
      <c r="P152" s="497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IFERROR(__xludf.DUMMYFUNCTION("IMPORTRANGE(""https://docs.google.com/spreadsheets/d/1MeEWN-I1oV_STSDYn1IFDPWt_1FKiwhDph83XaGc0o0/edit?usp=sharing"",""งบพรบ!BU87"")"),0)</f>
        <v>0</v>
      </c>
      <c r="M154" s="92">
        <f ca="1">IFERROR(__xludf.DUMMYFUNCTION("IMPORTRANGE(""https://docs.google.com/spreadsheets/d/1MeEWN-I1oV_STSDYn1IFDPWt_1FKiwhDph83XaGc0o0/edit?usp=sharing"",""งบพรบ!BZ87"")"),11460)</f>
        <v>11460</v>
      </c>
      <c r="N154" s="92">
        <f ca="1">IFERROR(__xludf.DUMMYFUNCTION("IMPORTRANGE(""https://docs.google.com/spreadsheets/d/1MeEWN-I1oV_STSDYn1IFDPWt_1FKiwhDph83XaGc0o0/edit?usp=sharing"",""งบพรบ!CB87"")"),11460)</f>
        <v>11460</v>
      </c>
      <c r="O154" s="92">
        <f t="shared" ca="1" si="35"/>
        <v>0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IFERROR(__xludf.DUMMYFUNCTION("IMPORTRANGE(""https://docs.google.com/spreadsheets/d/1MeEWN-I1oV_STSDYn1IFDPWt_1FKiwhDph83XaGc0o0/edit?usp=sharing"",""งบพรบ!BX87"")"),0)</f>
        <v>0</v>
      </c>
      <c r="M157" s="92">
        <f ca="1">IFERROR(__xludf.DUMMYFUNCTION("IMPORTRANGE(""https://docs.google.com/spreadsheets/d/1MeEWN-I1oV_STSDYn1IFDPWt_1FKiwhDph83XaGc0o0/edit?usp=sharing"",""งบพรบ!CA87"")"),0)</f>
        <v>0</v>
      </c>
      <c r="N157" s="92">
        <f ca="1">IFERROR(__xludf.DUMMYFUNCTION("IMPORTRANGE(""https://docs.google.com/spreadsheets/d/1MeEWN-I1oV_STSDYn1IFDPWt_1FKiwhDph83XaGc0o0/edit?usp=sharing"",""งบพรบ!CC87"")"),0)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4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IFERROR(__xludf.DUMMYFUNCTION("IMPORTRANGE(""https://docs.google.com/spreadsheets/d/1QqKyyYR6Q21VydFLVH3TRQUabQu_ym0Zz7PgGX0-kHA/edit?usp=sharing"",""แผน!X87"")"),0)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6"/>
      <c r="J160" s="616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58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12</v>
      </c>
      <c r="J164" s="252">
        <f>J174+J177</f>
        <v>12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46" t="s">
        <v>17</v>
      </c>
      <c r="E165" s="147"/>
      <c r="F165" s="147"/>
      <c r="G165" s="150"/>
      <c r="H165" s="151" t="s">
        <v>12</v>
      </c>
      <c r="I165" s="420"/>
      <c r="J165" s="420"/>
      <c r="K165" s="153"/>
      <c r="L165" s="154">
        <f ca="1">L166+L167</f>
        <v>23060</v>
      </c>
      <c r="M165" s="154">
        <f ca="1">M166+M167</f>
        <v>80870</v>
      </c>
      <c r="N165" s="154">
        <f ca="1">N166+N167</f>
        <v>80870</v>
      </c>
      <c r="O165" s="154">
        <f t="shared" ref="O165:O173" ca="1" si="38">IF(L165&gt;0,N165*100/L165,0)</f>
        <v>350.69384215091065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6"/>
      <c r="J166" s="616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6"/>
      <c r="J167" s="616"/>
      <c r="K167" s="92"/>
      <c r="L167" s="92">
        <f t="shared" ca="1" si="40"/>
        <v>23060</v>
      </c>
      <c r="M167" s="92">
        <f t="shared" ca="1" si="40"/>
        <v>80870</v>
      </c>
      <c r="N167" s="92">
        <f t="shared" ca="1" si="40"/>
        <v>80870</v>
      </c>
      <c r="O167" s="92">
        <f t="shared" ca="1" si="38"/>
        <v>350.69384215091065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23060</v>
      </c>
      <c r="M168" s="497">
        <f ca="1">M169+M170</f>
        <v>80870</v>
      </c>
      <c r="N168" s="497">
        <f ca="1">N169+N170</f>
        <v>80870</v>
      </c>
      <c r="O168" s="497">
        <f t="shared" ca="1" si="38"/>
        <v>350.69384215091065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IFERROR(__xludf.DUMMYFUNCTION("IMPORTRANGE(""https://docs.google.com/spreadsheets/d/1MeEWN-I1oV_STSDYn1IFDPWt_1FKiwhDph83XaGc0o0/edit?usp=sharing"",""งบพรบ!CE87"")"),23060)</f>
        <v>23060</v>
      </c>
      <c r="M170" s="92">
        <f ca="1">IFERROR(__xludf.DUMMYFUNCTION("IMPORTRANGE(""https://docs.google.com/spreadsheets/d/1MeEWN-I1oV_STSDYn1IFDPWt_1FKiwhDph83XaGc0o0/edit?usp=sharing"",""งบพรบ!CJ87"")"),80870)</f>
        <v>80870</v>
      </c>
      <c r="N170" s="92">
        <f ca="1">IFERROR(__xludf.DUMMYFUNCTION("IMPORTRANGE(""https://docs.google.com/spreadsheets/d/1MeEWN-I1oV_STSDYn1IFDPWt_1FKiwhDph83XaGc0o0/edit?usp=sharing"",""งบพรบ!CL87"")"),80870)</f>
        <v>80870</v>
      </c>
      <c r="O170" s="92">
        <f t="shared" ca="1" si="38"/>
        <v>350.69384215091065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IFERROR(__xludf.DUMMYFUNCTION("IMPORTRANGE(""https://docs.google.com/spreadsheets/d/1MeEWN-I1oV_STSDYn1IFDPWt_1FKiwhDph83XaGc0o0/edit?usp=sharing"",""งบพรบ!CH87"")"),0)</f>
        <v>0</v>
      </c>
      <c r="M173" s="92">
        <f ca="1">IFERROR(__xludf.DUMMYFUNCTION("IMPORTRANGE(""https://docs.google.com/spreadsheets/d/1MeEWN-I1oV_STSDYn1IFDPWt_1FKiwhDph83XaGc0o0/edit?usp=sharing"",""งบพรบ!CK87"")"),0)</f>
        <v>0</v>
      </c>
      <c r="N173" s="92">
        <f ca="1">IFERROR(__xludf.DUMMYFUNCTION("IMPORTRANGE(""https://docs.google.com/spreadsheets/d/1MeEWN-I1oV_STSDYn1IFDPWt_1FKiwhDph83XaGc0o0/edit?usp=sharing"",""งบพรบ!CM87"")"),0)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12</v>
      </c>
      <c r="J174" s="260">
        <f>J176</f>
        <v>12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47" t="s">
        <v>38</v>
      </c>
      <c r="E175" s="172"/>
      <c r="F175" s="172"/>
      <c r="G175" s="173"/>
      <c r="H175" s="761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5" t="s">
        <v>85</v>
      </c>
      <c r="E176" s="177"/>
      <c r="F176" s="177"/>
      <c r="G176" s="178"/>
      <c r="H176" s="622" t="s">
        <v>35</v>
      </c>
      <c r="I176" s="269">
        <f ca="1">IFERROR(__xludf.DUMMYFUNCTION("IMPORTRANGE(""https://docs.google.com/spreadsheets/d/1QqKyyYR6Q21VydFLVH3TRQUabQu_ym0Zz7PgGX0-kHA/edit?usp=sharing"",""แผน!Y87"")"),12)</f>
        <v>12</v>
      </c>
      <c r="J176" s="214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61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46" t="s">
        <v>17</v>
      </c>
      <c r="E181" s="147"/>
      <c r="F181" s="147"/>
      <c r="G181" s="150"/>
      <c r="H181" s="151" t="s">
        <v>12</v>
      </c>
      <c r="I181" s="420"/>
      <c r="J181" s="420"/>
      <c r="K181" s="153"/>
      <c r="L181" s="154">
        <f ca="1">L182+L183</f>
        <v>38200</v>
      </c>
      <c r="M181" s="154">
        <f ca="1">M182+M183</f>
        <v>38200</v>
      </c>
      <c r="N181" s="154">
        <f ca="1">N182+N183</f>
        <v>38200</v>
      </c>
      <c r="O181" s="154">
        <f t="shared" ref="O181:O189" ca="1" si="41">IF(L181&gt;0,N181*100/L181,0)</f>
        <v>100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6"/>
      <c r="J182" s="616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6"/>
      <c r="J183" s="616"/>
      <c r="K183" s="92"/>
      <c r="L183" s="92">
        <f t="shared" ca="1" si="43"/>
        <v>38200</v>
      </c>
      <c r="M183" s="92">
        <f t="shared" ca="1" si="43"/>
        <v>38200</v>
      </c>
      <c r="N183" s="92">
        <f t="shared" ca="1" si="43"/>
        <v>38200</v>
      </c>
      <c r="O183" s="92">
        <f t="shared" ca="1" si="41"/>
        <v>100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38200</v>
      </c>
      <c r="M184" s="497">
        <f ca="1">M185+M186</f>
        <v>38200</v>
      </c>
      <c r="N184" s="497">
        <f ca="1">N185+N186</f>
        <v>38200</v>
      </c>
      <c r="O184" s="497">
        <f t="shared" ca="1" si="41"/>
        <v>100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IFERROR(__xludf.DUMMYFUNCTION("IMPORTRANGE(""https://docs.google.com/spreadsheets/d/1MeEWN-I1oV_STSDYn1IFDPWt_1FKiwhDph83XaGc0o0/edit?usp=sharing"",""งบพรบ!CO87"")"),38200)</f>
        <v>38200</v>
      </c>
      <c r="M186" s="92">
        <f ca="1">IFERROR(__xludf.DUMMYFUNCTION("IMPORTRANGE(""https://docs.google.com/spreadsheets/d/1MeEWN-I1oV_STSDYn1IFDPWt_1FKiwhDph83XaGc0o0/edit?usp=sharing"",""งบพรบ!CT87"")"),38200)</f>
        <v>38200</v>
      </c>
      <c r="N186" s="92">
        <f ca="1">IFERROR(__xludf.DUMMYFUNCTION("IMPORTRANGE(""https://docs.google.com/spreadsheets/d/1MeEWN-I1oV_STSDYn1IFDPWt_1FKiwhDph83XaGc0o0/edit?usp=sharing"",""งบพรบ!CV87"")"),38200)</f>
        <v>38200</v>
      </c>
      <c r="O186" s="92">
        <f t="shared" ca="1" si="41"/>
        <v>100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IFERROR(__xludf.DUMMYFUNCTION("IMPORTRANGE(""https://docs.google.com/spreadsheets/d/1MeEWN-I1oV_STSDYn1IFDPWt_1FKiwhDph83XaGc0o0/edit?usp=sharing"",""งบพรบ!CR87"")"),0)</f>
        <v>0</v>
      </c>
      <c r="M189" s="92">
        <f ca="1">IFERROR(__xludf.DUMMYFUNCTION("IMPORTRANGE(""https://docs.google.com/spreadsheets/d/1MeEWN-I1oV_STSDYn1IFDPWt_1FKiwhDph83XaGc0o0/edit?usp=sharing"",""งบพรบ!CU87"")"),0)</f>
        <v>0</v>
      </c>
      <c r="N189" s="92">
        <f ca="1">IFERROR(__xludf.DUMMYFUNCTION("IMPORTRANGE(""https://docs.google.com/spreadsheets/d/1MeEWN-I1oV_STSDYn1IFDPWt_1FKiwhDph83XaGc0o0/edit?usp=sharing"",""งบพรบ!CW87"")"),0)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54" t="s">
        <v>17</v>
      </c>
      <c r="E191" s="147"/>
      <c r="F191" s="147"/>
      <c r="G191" s="150"/>
      <c r="H191" s="274" t="s">
        <v>12</v>
      </c>
      <c r="I191" s="420"/>
      <c r="J191" s="420"/>
      <c r="K191" s="153"/>
      <c r="L191" s="154">
        <f ca="1">IFERROR(__xludf.DUMMYFUNCTION("IMPORTRANGE(""https://docs.google.com/spreadsheets/d/1QqKyyYR6Q21VydFLVH3TRQUabQu_ym0Zz7PgGX0-kHA/edit?usp=sharing"",""แผน!Z87"")"),6000)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47" t="s">
        <v>38</v>
      </c>
      <c r="E192" s="172"/>
      <c r="F192" s="172"/>
      <c r="G192" s="173"/>
      <c r="H192" s="761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7" t="s">
        <v>91</v>
      </c>
      <c r="E193" s="177"/>
      <c r="F193" s="177"/>
      <c r="G193" s="178"/>
      <c r="H193" s="763" t="s">
        <v>90</v>
      </c>
      <c r="I193" s="269">
        <f ca="1">IFERROR(__xludf.DUMMYFUNCTION("IMPORTRANGE(""https://docs.google.com/spreadsheets/d/1QqKyyYR6Q21VydFLVH3TRQUabQu_ym0Zz7PgGX0-kHA/edit?usp=sharing"",""แผน!AC87"")"),4)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7" t="s">
        <v>92</v>
      </c>
      <c r="E194" s="177"/>
      <c r="F194" s="177"/>
      <c r="G194" s="178"/>
      <c r="H194" s="276" t="s">
        <v>35</v>
      </c>
      <c r="I194" s="269"/>
      <c r="J194" s="269">
        <f>J195+J196</f>
        <v>135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7" t="s">
        <v>93</v>
      </c>
      <c r="F195" s="177"/>
      <c r="G195" s="178"/>
      <c r="H195" s="276" t="s">
        <v>35</v>
      </c>
      <c r="I195" s="269"/>
      <c r="J195" s="214">
        <v>135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7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2</v>
      </c>
      <c r="J197" s="271">
        <f>J204</f>
        <v>2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54" t="s">
        <v>17</v>
      </c>
      <c r="E198" s="147"/>
      <c r="F198" s="147"/>
      <c r="G198" s="150"/>
      <c r="H198" s="274" t="s">
        <v>12</v>
      </c>
      <c r="I198" s="419"/>
      <c r="J198" s="419"/>
      <c r="K198" s="279"/>
      <c r="L198" s="154">
        <f ca="1">L199+L200+L201+L202</f>
        <v>26000</v>
      </c>
      <c r="M198" s="154"/>
      <c r="N198" s="154">
        <f>N199+N200+N201+N202</f>
        <v>26000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IFERROR(__xludf.DUMMYFUNCTION("IMPORTRANGE(""https://docs.google.com/spreadsheets/d/1QqKyyYR6Q21VydFLVH3TRQUabQu_ym0Zz7PgGX0-kHA/edit?usp=sharing"",""แผน!AE87"")"),2000)</f>
        <v>2000</v>
      </c>
      <c r="M199" s="497"/>
      <c r="N199" s="826">
        <v>2000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3"/>
      <c r="B200" s="280"/>
      <c r="C200" s="210"/>
      <c r="D200" s="281" t="s">
        <v>98</v>
      </c>
      <c r="E200" s="32"/>
      <c r="F200" s="32"/>
      <c r="G200" s="34"/>
      <c r="H200" s="622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IFERROR(__xludf.DUMMYFUNCTION("IMPORTRANGE(""https://docs.google.com/spreadsheets/d/1QqKyyYR6Q21VydFLVH3TRQUabQu_ym0Zz7PgGX0-kHA/edit?usp=sharing"",""แผน!AF87"")"),16000)</f>
        <v>16000</v>
      </c>
      <c r="M200" s="497"/>
      <c r="N200" s="826">
        <v>16000</v>
      </c>
      <c r="O200" s="497"/>
      <c r="P200" s="497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2"/>
      <c r="F201" s="32"/>
      <c r="G201" s="34"/>
      <c r="H201" s="622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IFERROR(__xludf.DUMMYFUNCTION("IMPORTRANGE(""https://docs.google.com/spreadsheets/d/1QqKyyYR6Q21VydFLVH3TRQUabQu_ym0Zz7PgGX0-kHA/edit?usp=sharing"",""แผน!AG87"")"),8000)</f>
        <v>8000</v>
      </c>
      <c r="M201" s="497"/>
      <c r="N201" s="826">
        <v>8000</v>
      </c>
      <c r="O201" s="497"/>
      <c r="P201" s="497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2"/>
      <c r="F202" s="32"/>
      <c r="G202" s="34"/>
      <c r="H202" s="622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IFERROR(__xludf.DUMMYFUNCTION("IMPORTRANGE(""https://docs.google.com/spreadsheets/d/1QqKyyYR6Q21VydFLVH3TRQUabQu_ym0Zz7PgGX0-kHA/edit?usp=sharing"",""แผน!AH87"")"),0)</f>
        <v>0</v>
      </c>
      <c r="M202" s="497"/>
      <c r="N202" s="826">
        <v>0</v>
      </c>
      <c r="O202" s="497"/>
      <c r="P202" s="497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69"/>
      <c r="B203" s="170"/>
      <c r="C203" s="210" t="s">
        <v>16</v>
      </c>
      <c r="D203" s="847" t="s">
        <v>38</v>
      </c>
      <c r="E203" s="172"/>
      <c r="F203" s="172"/>
      <c r="G203" s="173"/>
      <c r="H203" s="761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61" t="s">
        <v>96</v>
      </c>
      <c r="I204" s="269">
        <f ca="1">IFERROR(__xludf.DUMMYFUNCTION("IMPORTRANGE(""https://docs.google.com/spreadsheets/d/1QqKyyYR6Q21VydFLVH3TRQUabQu_ym0Zz7PgGX0-kHA/edit?usp=sharing"",""แผน!AI87"")"),2)</f>
        <v>2</v>
      </c>
      <c r="J204" s="214">
        <v>2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7" t="s">
        <v>59</v>
      </c>
      <c r="E205" s="177"/>
      <c r="F205" s="177"/>
      <c r="G205" s="178"/>
      <c r="H205" s="761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31" t="s">
        <v>102</v>
      </c>
      <c r="F206" s="286"/>
      <c r="G206" s="287"/>
      <c r="H206" s="288" t="s">
        <v>96</v>
      </c>
      <c r="I206" s="269">
        <v>2</v>
      </c>
      <c r="J206" s="214">
        <v>2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7"/>
      <c r="E207" s="447" t="s">
        <v>103</v>
      </c>
      <c r="F207" s="177"/>
      <c r="G207" s="177"/>
      <c r="H207" s="289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54" t="s">
        <v>17</v>
      </c>
      <c r="E209" s="147"/>
      <c r="F209" s="147"/>
      <c r="G209" s="150"/>
      <c r="H209" s="274" t="s">
        <v>12</v>
      </c>
      <c r="I209" s="419"/>
      <c r="J209" s="419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IFERROR(__xludf.DUMMYFUNCTION("IMPORTRANGE(""https://docs.google.com/spreadsheets/d/1QqKyyYR6Q21VydFLVH3TRQUabQu_ym0Zz7PgGX0-kHA/edit?usp=sharing"",""แผน!AK87"")"),0)</f>
        <v>0</v>
      </c>
      <c r="M210" s="497"/>
      <c r="N210" s="826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3"/>
      <c r="B211" s="280"/>
      <c r="C211" s="291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IFERROR(__xludf.DUMMYFUNCTION("IMPORTRANGE(""https://docs.google.com/spreadsheets/d/1QqKyyYR6Q21VydFLVH3TRQUabQu_ym0Zz7PgGX0-kHA/edit?usp=sharing"",""แผน!AL87"")"),0)</f>
        <v>0</v>
      </c>
      <c r="M211" s="497"/>
      <c r="N211" s="826">
        <v>0</v>
      </c>
      <c r="O211" s="497"/>
      <c r="P211" s="497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IFERROR(__xludf.DUMMYFUNCTION("IMPORTRANGE(""https://docs.google.com/spreadsheets/d/1QqKyyYR6Q21VydFLVH3TRQUabQu_ym0Zz7PgGX0-kHA/edit?usp=sharing"",""แผน!AM87"")"),0)</f>
        <v>0</v>
      </c>
      <c r="M212" s="497"/>
      <c r="N212" s="826">
        <v>0</v>
      </c>
      <c r="O212" s="497"/>
      <c r="P212" s="497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69"/>
      <c r="B213" s="170"/>
      <c r="C213" s="291" t="s">
        <v>16</v>
      </c>
      <c r="D213" s="847" t="s">
        <v>38</v>
      </c>
      <c r="E213" s="172"/>
      <c r="F213" s="172"/>
      <c r="G213" s="173"/>
      <c r="H213" s="761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61" t="s">
        <v>96</v>
      </c>
      <c r="I214" s="269">
        <f ca="1">IFERROR(__xludf.DUMMYFUNCTION("IMPORTRANGE(""https://docs.google.com/spreadsheets/d/1QqKyyYR6Q21VydFLVH3TRQUabQu_ym0Zz7PgGX0-kHA/edit?usp=sharing"",""แผน!AN87"")"),0)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61" t="s">
        <v>96</v>
      </c>
      <c r="I215" s="269">
        <f ca="1">IFERROR(__xludf.DUMMYFUNCTION("IMPORTRANGE(""https://docs.google.com/spreadsheets/d/1QqKyyYR6Q21VydFLVH3TRQUabQu_ym0Zz7PgGX0-kHA/edit?usp=sharing"",""แผน!AN87"")"),0)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ca="1">I224</f>
        <v>6400</v>
      </c>
      <c r="J216" s="271">
        <f>J224</f>
        <v>6400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54" t="s">
        <v>17</v>
      </c>
      <c r="E217" s="147"/>
      <c r="F217" s="147"/>
      <c r="G217" s="150"/>
      <c r="H217" s="274" t="s">
        <v>12</v>
      </c>
      <c r="I217" s="419"/>
      <c r="J217" s="419"/>
      <c r="K217" s="279"/>
      <c r="L217" s="154">
        <f ca="1">L218+L219+L220</f>
        <v>6200</v>
      </c>
      <c r="M217" s="154"/>
      <c r="N217" s="154">
        <f>N218+N219+N220</f>
        <v>6200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IFERROR(__xludf.DUMMYFUNCTION("IMPORTRANGE(""https://docs.google.com/spreadsheets/d/1QqKyyYR6Q21VydFLVH3TRQUabQu_ym0Zz7PgGX0-kHA/edit?usp=sharing"",""แผน!AP87"")"),3000)</f>
        <v>3000</v>
      </c>
      <c r="M218" s="497"/>
      <c r="N218" s="826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3"/>
      <c r="B219" s="280"/>
      <c r="C219" s="291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IFERROR(__xludf.DUMMYFUNCTION("IMPORTRANGE(""https://docs.google.com/spreadsheets/d/1QqKyyYR6Q21VydFLVH3TRQUabQu_ym0Zz7PgGX0-kHA/edit?usp=sharing"",""แผน!AQ87"")"),3200)</f>
        <v>3200</v>
      </c>
      <c r="M219" s="497"/>
      <c r="N219" s="826">
        <v>3200</v>
      </c>
      <c r="O219" s="497"/>
      <c r="P219" s="497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IFERROR(__xludf.DUMMYFUNCTION("IMPORTRANGE(""https://docs.google.com/spreadsheets/d/1QqKyyYR6Q21VydFLVH3TRQUabQu_ym0Zz7PgGX0-kHA/edit?usp=sharing"",""แผน!AR87"")"),0)</f>
        <v>0</v>
      </c>
      <c r="M220" s="497"/>
      <c r="N220" s="826">
        <v>0</v>
      </c>
      <c r="O220" s="497"/>
      <c r="P220" s="497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69"/>
      <c r="B221" s="170"/>
      <c r="C221" s="291" t="s">
        <v>16</v>
      </c>
      <c r="D221" s="847" t="s">
        <v>38</v>
      </c>
      <c r="E221" s="172"/>
      <c r="F221" s="172"/>
      <c r="G221" s="173"/>
      <c r="H221" s="761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61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63" t="s">
        <v>109</v>
      </c>
      <c r="I223" s="269">
        <f ca="1">IFERROR(__xludf.DUMMYFUNCTION("IMPORTRANGE(""https://docs.google.com/spreadsheets/d/1QqKyyYR6Q21VydFLVH3TRQUabQu_ym0Zz7PgGX0-kHA/edit?usp=sharing"",""แผน!AT87"")"),6400)</f>
        <v>6400</v>
      </c>
      <c r="J223" s="214">
        <v>6400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63" t="s">
        <v>109</v>
      </c>
      <c r="I224" s="269">
        <f ca="1">IFERROR(__xludf.DUMMYFUNCTION("IMPORTRANGE(""https://docs.google.com/spreadsheets/d/1QqKyyYR6Q21VydFLVH3TRQUabQu_ym0Zz7PgGX0-kHA/edit?usp=sharing"",""แผน!AT87"")"),6400)</f>
        <v>6400</v>
      </c>
      <c r="J224" s="214">
        <v>6400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63" t="s">
        <v>35</v>
      </c>
      <c r="I225" s="269">
        <f ca="1">IFERROR(__xludf.DUMMYFUNCTION("IMPORTRANGE(""https://docs.google.com/spreadsheets/d/1QqKyyYR6Q21VydFLVH3TRQUabQu_ym0Zz7PgGX0-kHA/edit?usp=sharing"",""แผน!AS87"")"),0)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0</v>
      </c>
      <c r="J226" s="344">
        <f>J237+J248</f>
        <v>0</v>
      </c>
      <c r="K226" s="345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0</v>
      </c>
      <c r="M227" s="355"/>
      <c r="N227" s="355">
        <f>N238+N249</f>
        <v>0</v>
      </c>
      <c r="O227" s="855"/>
      <c r="P227" s="85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6"/>
      <c r="J229" s="616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6"/>
      <c r="J230" s="616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6"/>
      <c r="J231" s="616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6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6">
        <f ca="1">I244+I255</f>
        <v>0</v>
      </c>
      <c r="J233" s="616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6"/>
      <c r="J234" s="616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6">
        <f>I246+I257</f>
        <v>0</v>
      </c>
      <c r="J235" s="616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6">
        <f>I247+I258</f>
        <v>0</v>
      </c>
      <c r="J236" s="616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270" t="s">
        <v>332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46" t="s">
        <v>17</v>
      </c>
      <c r="E238" s="147"/>
      <c r="F238" s="147"/>
      <c r="G238" s="150"/>
      <c r="H238" s="274" t="s">
        <v>12</v>
      </c>
      <c r="I238" s="419"/>
      <c r="J238" s="419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IFERROR(__xludf.DUMMYFUNCTION("IMPORTRANGE(""https://docs.google.com/spreadsheets/d/1QqKyyYR6Q21VydFLVH3TRQUabQu_ym0Zz7PgGX0-kHA/edit?usp=sharing"",""แผน!AV87"")"),0)</f>
        <v>0</v>
      </c>
      <c r="M239" s="321"/>
      <c r="N239" s="853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IFERROR(__xludf.DUMMYFUNCTION("IMPORTRANGE(""https://docs.google.com/spreadsheets/d/1QqKyyYR6Q21VydFLVH3TRQUabQu_ym0Zz7PgGX0-kHA/edit?usp=sharing"",""แผน!AW87"")"),0)</f>
        <v>0</v>
      </c>
      <c r="M240" s="321"/>
      <c r="N240" s="853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IFERROR(__xludf.DUMMYFUNCTION("IMPORTRANGE(""https://docs.google.com/spreadsheets/d/1QqKyyYR6Q21VydFLVH3TRQUabQu_ym0Zz7PgGX0-kHA/edit?usp=sharing"",""แผน!AX87"")"),0)</f>
        <v>0</v>
      </c>
      <c r="M241" s="321"/>
      <c r="N241" s="853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IFERROR(__xludf.DUMMYFUNCTION("IMPORTRANGE(""https://docs.google.com/spreadsheets/d/1QqKyyYR6Q21VydFLVH3TRQUabQu_ym0Zz7PgGX0-kHA/edit?usp=sharing"",""แผน!AY87"")"),0)</f>
        <v>0</v>
      </c>
      <c r="M242" s="321"/>
      <c r="N242" s="853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1" t="s">
        <v>16</v>
      </c>
      <c r="D243" s="847" t="s">
        <v>38</v>
      </c>
      <c r="E243" s="172"/>
      <c r="F243" s="172"/>
      <c r="G243" s="173"/>
      <c r="H243" s="761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47" t="s">
        <v>117</v>
      </c>
      <c r="E244" s="177"/>
      <c r="F244" s="177"/>
      <c r="G244" s="178"/>
      <c r="H244" s="763" t="s">
        <v>35</v>
      </c>
      <c r="I244" s="269">
        <f ca="1">IFERROR(__xludf.DUMMYFUNCTION("IMPORTRANGE(""https://docs.google.com/spreadsheets/d/1QqKyyYR6Q21VydFLVH3TRQUabQu_ym0Zz7PgGX0-kHA/edit?usp=sharing"",""แผน!BE87"")"),0)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852" t="s">
        <v>43</v>
      </c>
      <c r="E245" s="177"/>
      <c r="F245" s="177"/>
      <c r="G245" s="178"/>
      <c r="H245" s="763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175" t="s">
        <v>118</v>
      </c>
      <c r="F246" s="177"/>
      <c r="G246" s="178"/>
      <c r="H246" s="763" t="s">
        <v>35</v>
      </c>
      <c r="I246" s="269"/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763" t="s">
        <v>66</v>
      </c>
      <c r="I247" s="269"/>
      <c r="J247" s="214">
        <v>0</v>
      </c>
      <c r="K247" s="497">
        <f>IF(I247&gt;0,J247*100/I247,0)</f>
        <v>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54" t="s">
        <v>17</v>
      </c>
      <c r="E249" s="147"/>
      <c r="F249" s="147"/>
      <c r="G249" s="150"/>
      <c r="H249" s="274" t="s">
        <v>12</v>
      </c>
      <c r="I249" s="419"/>
      <c r="J249" s="419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IFERROR(__xludf.DUMMYFUNCTION("IMPORTRANGE(""https://docs.google.com/spreadsheets/d/1QqKyyYR6Q21VydFLVH3TRQUabQu_ym0Zz7PgGX0-kHA/edit?usp=sharing"",""แผน!AZ87"")"),0)</f>
        <v>0</v>
      </c>
      <c r="M250" s="321"/>
      <c r="N250" s="853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IFERROR(__xludf.DUMMYFUNCTION("IMPORTRANGE(""https://docs.google.com/spreadsheets/d/1QqKyyYR6Q21VydFLVH3TRQUabQu_ym0Zz7PgGX0-kHA/edit?usp=sharing"",""แผน!BA87"")"),0)</f>
        <v>0</v>
      </c>
      <c r="M251" s="321"/>
      <c r="N251" s="853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IFERROR(__xludf.DUMMYFUNCTION("IMPORTRANGE(""https://docs.google.com/spreadsheets/d/1QqKyyYR6Q21VydFLVH3TRQUabQu_ym0Zz7PgGX0-kHA/edit?usp=sharing"",""แผน!BB87"")"),0)</f>
        <v>0</v>
      </c>
      <c r="M252" s="321"/>
      <c r="N252" s="853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IFERROR(__xludf.DUMMYFUNCTION("IMPORTRANGE(""https://docs.google.com/spreadsheets/d/1QqKyyYR6Q21VydFLVH3TRQUabQu_ym0Zz7PgGX0-kHA/edit?usp=sharing"",""แผน!BC87"")"),0)</f>
        <v>0</v>
      </c>
      <c r="M253" s="321"/>
      <c r="N253" s="853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1" t="s">
        <v>16</v>
      </c>
      <c r="D254" s="847" t="s">
        <v>38</v>
      </c>
      <c r="E254" s="172"/>
      <c r="F254" s="172"/>
      <c r="G254" s="173"/>
      <c r="H254" s="761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7" t="s">
        <v>117</v>
      </c>
      <c r="E255" s="177"/>
      <c r="F255" s="177"/>
      <c r="G255" s="178"/>
      <c r="H255" s="763" t="s">
        <v>35</v>
      </c>
      <c r="I255" s="269">
        <f ca="1">IFERROR(__xludf.DUMMYFUNCTION("IMPORTRANGE(""https://docs.google.com/spreadsheets/d/1QqKyyYR6Q21VydFLVH3TRQUabQu_ym0Zz7PgGX0-kHA/edit?usp=sharing"",""แผน!BF87"")"),0)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52" t="s">
        <v>43</v>
      </c>
      <c r="E256" s="177"/>
      <c r="F256" s="177"/>
      <c r="G256" s="178"/>
      <c r="H256" s="763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63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63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20</v>
      </c>
      <c r="J260" s="252">
        <f>J271</f>
        <v>20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46" t="s">
        <v>17</v>
      </c>
      <c r="E261" s="147"/>
      <c r="F261" s="147"/>
      <c r="G261" s="150"/>
      <c r="H261" s="151" t="s">
        <v>12</v>
      </c>
      <c r="I261" s="420"/>
      <c r="J261" s="420"/>
      <c r="K261" s="153"/>
      <c r="L261" s="154">
        <f ca="1">L262+L263</f>
        <v>25000</v>
      </c>
      <c r="M261" s="154">
        <f ca="1">M262+M263</f>
        <v>25000</v>
      </c>
      <c r="N261" s="154">
        <f ca="1">N262+N263</f>
        <v>25000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6"/>
      <c r="J262" s="616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6"/>
      <c r="J263" s="616"/>
      <c r="K263" s="92"/>
      <c r="L263" s="92">
        <f t="shared" ca="1" si="46"/>
        <v>25000</v>
      </c>
      <c r="M263" s="92">
        <f t="shared" ca="1" si="46"/>
        <v>25000</v>
      </c>
      <c r="N263" s="92">
        <f t="shared" ca="1" si="46"/>
        <v>25000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25000</v>
      </c>
      <c r="M264" s="497">
        <f ca="1">M265+M266</f>
        <v>25000</v>
      </c>
      <c r="N264" s="497">
        <f ca="1">N265+N266</f>
        <v>25000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IFERROR(__xludf.DUMMYFUNCTION("IMPORTRANGE(""https://docs.google.com/spreadsheets/d/1MeEWN-I1oV_STSDYn1IFDPWt_1FKiwhDph83XaGc0o0/edit?usp=sharing"",""งบพรบ!CY87"")"),25000)</f>
        <v>25000</v>
      </c>
      <c r="M266" s="92">
        <f ca="1">IFERROR(__xludf.DUMMYFUNCTION("IMPORTRANGE(""https://docs.google.com/spreadsheets/d/1MeEWN-I1oV_STSDYn1IFDPWt_1FKiwhDph83XaGc0o0/edit?usp=sharing"",""งบพรบ!DD87"")"),25000)</f>
        <v>25000</v>
      </c>
      <c r="N266" s="92">
        <f ca="1">IFERROR(__xludf.DUMMYFUNCTION("IMPORTRANGE(""https://docs.google.com/spreadsheets/d/1MeEWN-I1oV_STSDYn1IFDPWt_1FKiwhDph83XaGc0o0/edit?usp=sharing"",""งบพรบ!DF87"")"),25000)</f>
        <v>25000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IFERROR(__xludf.DUMMYFUNCTION("IMPORTRANGE(""https://docs.google.com/spreadsheets/d/1MeEWN-I1oV_STSDYn1IFDPWt_1FKiwhDph83XaGc0o0/edit?usp=sharing"",""งบพรบ!DB87"")"),0)</f>
        <v>0</v>
      </c>
      <c r="M269" s="92">
        <f ca="1">IFERROR(__xludf.DUMMYFUNCTION("IMPORTRANGE(""https://docs.google.com/spreadsheets/d/1MeEWN-I1oV_STSDYn1IFDPWt_1FKiwhDph83XaGc0o0/edit?usp=sharing"",""งบพรบ!DE87"")"),0)</f>
        <v>0</v>
      </c>
      <c r="N269" s="92">
        <f ca="1">IFERROR(__xludf.DUMMYFUNCTION("IMPORTRANGE(""https://docs.google.com/spreadsheets/d/1MeEWN-I1oV_STSDYn1IFDPWt_1FKiwhDph83XaGc0o0/edit?usp=sharing"",""งบพรบ!DG87"")"),0)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47" t="s">
        <v>38</v>
      </c>
      <c r="E270" s="172"/>
      <c r="F270" s="172"/>
      <c r="G270" s="173"/>
      <c r="H270" s="761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IFERROR(__xludf.DUMMYFUNCTION("IMPORTRANGE(""https://docs.google.com/spreadsheets/d/1QqKyyYR6Q21VydFLVH3TRQUabQu_ym0Zz7PgGX0-kHA/edit?usp=sharing"",""แผน!EA87"")"),20)</f>
        <v>20</v>
      </c>
      <c r="J271" s="214">
        <v>20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5">
        <v>0</v>
      </c>
      <c r="J272" s="505">
        <v>0</v>
      </c>
      <c r="K272" s="384">
        <v>0</v>
      </c>
      <c r="L272" s="384"/>
      <c r="M272" s="384"/>
      <c r="N272" s="384"/>
      <c r="O272" s="384"/>
      <c r="P272" s="384"/>
    </row>
    <row r="273" spans="1:26" ht="19.5" hidden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9">
        <f ca="1">I287</f>
        <v>0</v>
      </c>
      <c r="J276" s="409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46" t="s">
        <v>17</v>
      </c>
      <c r="E277" s="147"/>
      <c r="F277" s="147"/>
      <c r="G277" s="150"/>
      <c r="H277" s="151" t="s">
        <v>12</v>
      </c>
      <c r="I277" s="420"/>
      <c r="J277" s="420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6"/>
      <c r="J278" s="616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6"/>
      <c r="J279" s="616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IFERROR(__xludf.DUMMYFUNCTION("IMPORTRANGE(""https://docs.google.com/spreadsheets/d/1MeEWN-I1oV_STSDYn1IFDPWt_1FKiwhDph83XaGc0o0/edit?usp=sharing"",""งบพรบ!DI87"")"),0)</f>
        <v>0</v>
      </c>
      <c r="M282" s="92">
        <f ca="1">IFERROR(__xludf.DUMMYFUNCTION("IMPORTRANGE(""https://docs.google.com/spreadsheets/d/1MeEWN-I1oV_STSDYn1IFDPWt_1FKiwhDph83XaGc0o0/edit?usp=sharing"",""งบพรบ!DN87"")"),0)</f>
        <v>0</v>
      </c>
      <c r="N282" s="92">
        <f ca="1">IFERROR(__xludf.DUMMYFUNCTION("IMPORTRANGE(""https://docs.google.com/spreadsheets/d/1MeEWN-I1oV_STSDYn1IFDPWt_1FKiwhDph83XaGc0o0/edit?usp=sharing"",""งบพรบ!DP87"")"),0)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IFERROR(__xludf.DUMMYFUNCTION("IMPORTRANGE(""https://docs.google.com/spreadsheets/d/1MeEWN-I1oV_STSDYn1IFDPWt_1FKiwhDph83XaGc0o0/edit?usp=sharing"",""งบพรบ!DL87"")"),0)</f>
        <v>0</v>
      </c>
      <c r="M285" s="92">
        <f ca="1">IFERROR(__xludf.DUMMYFUNCTION("IMPORTRANGE(""https://docs.google.com/spreadsheets/d/1MeEWN-I1oV_STSDYn1IFDPWt_1FKiwhDph83XaGc0o0/edit?usp=sharing"",""งบพรบ!DO87"")"),0)</f>
        <v>0</v>
      </c>
      <c r="N285" s="92">
        <f ca="1">IFERROR(__xludf.DUMMYFUNCTION("IMPORTRANGE(""https://docs.google.com/spreadsheets/d/1MeEWN-I1oV_STSDYn1IFDPWt_1FKiwhDph83XaGc0o0/edit?usp=sharing"",""งบพรบ!DQ87"")"),0)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47" t="s">
        <v>38</v>
      </c>
      <c r="E286" s="172"/>
      <c r="F286" s="172"/>
      <c r="G286" s="173"/>
      <c r="H286" s="761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5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IFERROR(__xludf.DUMMYFUNCTION("IMPORTRANGE(""https://docs.google.com/spreadsheets/d/1QqKyyYR6Q21VydFLVH3TRQUabQu_ym0Zz7PgGX0-kHA/edit?usp=sharing"",""แผน!EC87"")"),0)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5" t="s">
        <v>130</v>
      </c>
      <c r="E288" s="170"/>
      <c r="F288" s="177"/>
      <c r="G288" s="178"/>
      <c r="H288" s="179" t="s">
        <v>35</v>
      </c>
      <c r="I288" s="680">
        <f ca="1">IFERROR(__xludf.DUMMYFUNCTION("IMPORTRANGE(""https://docs.google.com/spreadsheets/d/1QqKyyYR6Q21VydFLVH3TRQUabQu_ym0Zz7PgGX0-kHA/edit?usp=sharing"",""แผน!EB87"")"),0)</f>
        <v>0</v>
      </c>
      <c r="J288" s="680">
        <f ca="1">IF(AND(J291&gt;=I288,J294&gt;=I288),J294,0)</f>
        <v>0</v>
      </c>
      <c r="K288" s="411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2"/>
      <c r="E289" s="413" t="s">
        <v>131</v>
      </c>
      <c r="F289" s="177"/>
      <c r="G289" s="178"/>
      <c r="H289" s="763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2"/>
      <c r="E290" s="625" t="s">
        <v>132</v>
      </c>
      <c r="F290" s="177"/>
      <c r="G290" s="178"/>
      <c r="H290" s="763" t="s">
        <v>35</v>
      </c>
      <c r="I290" s="183">
        <f ca="1">IFERROR(__xludf.DUMMYFUNCTION("IMPORTRANGE(""https://docs.google.com/spreadsheets/d/1QqKyyYR6Q21VydFLVH3TRQUabQu_ym0Zz7PgGX0-kHA/edit?usp=sharing"",""แผน!EB87"")"),0)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5" t="s">
        <v>336</v>
      </c>
      <c r="F291" s="177"/>
      <c r="G291" s="178"/>
      <c r="H291" s="763" t="s">
        <v>35</v>
      </c>
      <c r="I291" s="183">
        <f ca="1">IFERROR(__xludf.DUMMYFUNCTION("IMPORTRANGE(""https://docs.google.com/spreadsheets/d/1QqKyyYR6Q21VydFLVH3TRQUabQu_ym0Zz7PgGX0-kHA/edit?usp=sharing"",""แผน!EB87"")"),0)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4"/>
      <c r="B292" s="415"/>
      <c r="C292" s="415"/>
      <c r="D292" s="416"/>
      <c r="E292" s="417" t="s">
        <v>134</v>
      </c>
      <c r="F292" s="286"/>
      <c r="G292" s="287"/>
      <c r="H292" s="418"/>
      <c r="I292" s="419"/>
      <c r="J292" s="420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2"/>
      <c r="E293" s="625" t="s">
        <v>132</v>
      </c>
      <c r="F293" s="177"/>
      <c r="G293" s="178"/>
      <c r="H293" s="763" t="s">
        <v>35</v>
      </c>
      <c r="I293" s="183">
        <f ca="1">IFERROR(__xludf.DUMMYFUNCTION("IMPORTRANGE(""https://docs.google.com/spreadsheets/d/1QqKyyYR6Q21VydFLVH3TRQUabQu_ym0Zz7PgGX0-kHA/edit?usp=sharing"",""แผน!EB87"")"),0)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33" t="s">
        <v>336</v>
      </c>
      <c r="F294" s="380"/>
      <c r="G294" s="381"/>
      <c r="H294" s="422" t="s">
        <v>35</v>
      </c>
      <c r="I294" s="423">
        <f ca="1">IFERROR(__xludf.DUMMYFUNCTION("IMPORTRANGE(""https://docs.google.com/spreadsheets/d/1QqKyyYR6Q21VydFLVH3TRQUabQu_ym0Zz7PgGX0-kHA/edit?usp=sharing"",""แผน!EB87"")"),0)</f>
        <v>0</v>
      </c>
      <c r="J294" s="424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0</v>
      </c>
      <c r="J297" s="444">
        <f>J309</f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6"/>
      <c r="B298" s="147"/>
      <c r="C298" s="148" t="s">
        <v>16</v>
      </c>
      <c r="D298" s="846" t="s">
        <v>17</v>
      </c>
      <c r="E298" s="147"/>
      <c r="F298" s="147"/>
      <c r="G298" s="150"/>
      <c r="H298" s="151" t="s">
        <v>12</v>
      </c>
      <c r="I298" s="420"/>
      <c r="J298" s="420"/>
      <c r="K298" s="153"/>
      <c r="L298" s="154">
        <f ca="1">L299+L300</f>
        <v>0</v>
      </c>
      <c r="M298" s="154">
        <f ca="1">M299+M300</f>
        <v>0</v>
      </c>
      <c r="N298" s="154">
        <f ca="1">N299+N300</f>
        <v>0</v>
      </c>
      <c r="O298" s="154">
        <f t="shared" ref="O298:O306" ca="1" si="50">IF(L298&gt;0,N298*100/L298,0)</f>
        <v>0</v>
      </c>
      <c r="P298" s="154">
        <f t="shared" ref="P298:P306" ca="1" si="51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6"/>
      <c r="J299" s="616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6"/>
      <c r="J300" s="616"/>
      <c r="K300" s="92"/>
      <c r="L300" s="92">
        <f t="shared" ca="1" si="52"/>
        <v>0</v>
      </c>
      <c r="M300" s="92">
        <f t="shared" ca="1" si="52"/>
        <v>0</v>
      </c>
      <c r="N300" s="92">
        <f t="shared" ca="1" si="52"/>
        <v>0</v>
      </c>
      <c r="O300" s="92">
        <f t="shared" ca="1" si="50"/>
        <v>0</v>
      </c>
      <c r="P300" s="92">
        <f t="shared" ca="1" si="51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0</v>
      </c>
      <c r="M301" s="497">
        <f ca="1">M302+M303</f>
        <v>0</v>
      </c>
      <c r="N301" s="497">
        <f ca="1">N302+N303</f>
        <v>0</v>
      </c>
      <c r="O301" s="497">
        <f t="shared" ca="1" si="50"/>
        <v>0</v>
      </c>
      <c r="P301" s="497">
        <f t="shared" ca="1" si="51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IFERROR(__xludf.DUMMYFUNCTION("IMPORTRANGE(""https://docs.google.com/spreadsheets/d/1MeEWN-I1oV_STSDYn1IFDPWt_1FKiwhDph83XaGc0o0/edit?usp=sharing"",""งบพรบ!DS87"")"),0)</f>
        <v>0</v>
      </c>
      <c r="M303" s="92">
        <f ca="1">IFERROR(__xludf.DUMMYFUNCTION("IMPORTRANGE(""https://docs.google.com/spreadsheets/d/1MeEWN-I1oV_STSDYn1IFDPWt_1FKiwhDph83XaGc0o0/edit?usp=sharing"",""งบพรบ!DX87"")"),0)</f>
        <v>0</v>
      </c>
      <c r="N303" s="92">
        <f ca="1">IFERROR(__xludf.DUMMYFUNCTION("IMPORTRANGE(""https://docs.google.com/spreadsheets/d/1MeEWN-I1oV_STSDYn1IFDPWt_1FKiwhDph83XaGc0o0/edit?usp=sharing"",""งบพรบ!DZ87"")"),0)</f>
        <v>0</v>
      </c>
      <c r="O303" s="92">
        <f t="shared" ca="1" si="50"/>
        <v>0</v>
      </c>
      <c r="P303" s="92">
        <f t="shared" ca="1" si="51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IFERROR(__xludf.DUMMYFUNCTION("IMPORTRANGE(""https://docs.google.com/spreadsheets/d/1MeEWN-I1oV_STSDYn1IFDPWt_1FKiwhDph83XaGc0o0/edit?usp=sharing"",""งบพรบ!DV87"")"),0)</f>
        <v>0</v>
      </c>
      <c r="M306" s="92">
        <f ca="1">IFERROR(__xludf.DUMMYFUNCTION("IMPORTRANGE(""https://docs.google.com/spreadsheets/d/1MeEWN-I1oV_STSDYn1IFDPWt_1FKiwhDph83XaGc0o0/edit?usp=sharing"",""งบพรบ!DY87"")"),0)</f>
        <v>0</v>
      </c>
      <c r="N306" s="92">
        <f ca="1">IFERROR(__xludf.DUMMYFUNCTION("IMPORTRANGE(""https://docs.google.com/spreadsheets/d/1MeEWN-I1oV_STSDYn1IFDPWt_1FKiwhDph83XaGc0o0/edit?usp=sharing"",""งบพรบ!EA87"")"),0)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47" t="s">
        <v>38</v>
      </c>
      <c r="E307" s="172"/>
      <c r="F307" s="172"/>
      <c r="G307" s="173"/>
      <c r="H307" s="761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69"/>
      <c r="B308" s="170"/>
      <c r="C308" s="170"/>
      <c r="D308" s="447" t="s">
        <v>140</v>
      </c>
      <c r="E308" s="447"/>
      <c r="F308" s="447"/>
      <c r="G308" s="178"/>
      <c r="H308" s="763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69"/>
      <c r="B309" s="170"/>
      <c r="C309" s="170"/>
      <c r="D309" s="447" t="s">
        <v>141</v>
      </c>
      <c r="E309" s="447"/>
      <c r="F309" s="447"/>
      <c r="G309" s="178"/>
      <c r="H309" s="763" t="s">
        <v>35</v>
      </c>
      <c r="I309" s="269">
        <f ca="1">IFERROR(__xludf.DUMMYFUNCTION("IMPORTRANGE(""https://docs.google.com/spreadsheets/d/1QqKyyYR6Q21VydFLVH3TRQUabQu_ym0Zz7PgGX0-kHA/edit?usp=sharing"",""แผน!ED87"")"),0)</f>
        <v>0</v>
      </c>
      <c r="J309" s="214">
        <v>0</v>
      </c>
      <c r="K309" s="497">
        <f ca="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69"/>
      <c r="B310" s="170"/>
      <c r="C310" s="170"/>
      <c r="D310" s="447" t="s">
        <v>142</v>
      </c>
      <c r="E310" s="447"/>
      <c r="F310" s="447"/>
      <c r="G310" s="178"/>
      <c r="H310" s="763" t="s">
        <v>35</v>
      </c>
      <c r="I310" s="269">
        <f ca="1">IFERROR(__xludf.DUMMYFUNCTION("IMPORTRANGE(""https://docs.google.com/spreadsheets/d/1QqKyyYR6Q21VydFLVH3TRQUabQu_ym0Zz7PgGX0-kHA/edit?usp=sharing"",""แผน!ED87"")"),0)</f>
        <v>0</v>
      </c>
      <c r="J310" s="214">
        <v>0</v>
      </c>
      <c r="K310" s="497">
        <f ca="1">IF(I310&gt;0,J310*100/I310,0)</f>
        <v>0</v>
      </c>
      <c r="L310" s="497"/>
      <c r="M310" s="497"/>
      <c r="N310" s="497"/>
      <c r="O310" s="497"/>
      <c r="P310" s="497"/>
    </row>
    <row r="311" spans="1:26" ht="18.75" hidden="1">
      <c r="A311" s="169"/>
      <c r="B311" s="170"/>
      <c r="C311" s="170"/>
      <c r="D311" s="447" t="s">
        <v>59</v>
      </c>
      <c r="E311" s="447"/>
      <c r="F311" s="447"/>
      <c r="G311" s="178"/>
      <c r="H311" s="763" t="s">
        <v>35</v>
      </c>
      <c r="I311" s="269">
        <f ca="1">IFERROR(__xludf.DUMMYFUNCTION("IMPORTRANGE(""https://docs.google.com/spreadsheets/d/1QqKyyYR6Q21VydFLVH3TRQUabQu_ym0Zz7PgGX0-kHA/edit?usp=sharing"",""แผน!ED87"")"),0)</f>
        <v>0</v>
      </c>
      <c r="J311" s="214">
        <v>0</v>
      </c>
      <c r="K311" s="497">
        <f ca="1">IF(I311&gt;0,J311*100/I311,0)</f>
        <v>0</v>
      </c>
      <c r="L311" s="497"/>
      <c r="M311" s="497"/>
      <c r="N311" s="497"/>
      <c r="O311" s="497"/>
      <c r="P311" s="497"/>
    </row>
    <row r="312" spans="1:26" ht="18.75" hidden="1">
      <c r="A312" s="169"/>
      <c r="B312" s="170"/>
      <c r="C312" s="170"/>
      <c r="D312" s="447" t="s">
        <v>143</v>
      </c>
      <c r="E312" s="447"/>
      <c r="F312" s="447"/>
      <c r="G312" s="178"/>
      <c r="H312" s="763" t="s">
        <v>35</v>
      </c>
      <c r="I312" s="269">
        <f ca="1">IFERROR(__xludf.DUMMYFUNCTION("IMPORTRANGE(""https://docs.google.com/spreadsheets/d/1QqKyyYR6Q21VydFLVH3TRQUabQu_ym0Zz7PgGX0-kHA/edit?usp=sharing"",""แผน!EE87"")"),0)</f>
        <v>0</v>
      </c>
      <c r="J312" s="214">
        <v>0</v>
      </c>
      <c r="K312" s="497">
        <f ca="1">IF(I312&gt;0,J312*100/I312,0)</f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0</v>
      </c>
      <c r="J314" s="444">
        <f>J325</f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6"/>
      <c r="B315" s="147"/>
      <c r="C315" s="148" t="s">
        <v>16</v>
      </c>
      <c r="D315" s="846" t="s">
        <v>17</v>
      </c>
      <c r="E315" s="147"/>
      <c r="F315" s="147"/>
      <c r="G315" s="150"/>
      <c r="H315" s="151" t="s">
        <v>12</v>
      </c>
      <c r="I315" s="420"/>
      <c r="J315" s="420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6"/>
      <c r="J316" s="616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6"/>
      <c r="J317" s="616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IFERROR(__xludf.DUMMYFUNCTION("IMPORTRANGE(""https://docs.google.com/spreadsheets/d/1MeEWN-I1oV_STSDYn1IFDPWt_1FKiwhDph83XaGc0o0/edit?usp=sharing"",""งบพรบ!EC87"")"),0)</f>
        <v>0</v>
      </c>
      <c r="M320" s="92">
        <f ca="1">IFERROR(__xludf.DUMMYFUNCTION("IMPORTRANGE(""https://docs.google.com/spreadsheets/d/1MeEWN-I1oV_STSDYn1IFDPWt_1FKiwhDph83XaGc0o0/edit?usp=sharing"",""งบพรบ!EH87"")"),0)</f>
        <v>0</v>
      </c>
      <c r="N320" s="92">
        <f ca="1">IFERROR(__xludf.DUMMYFUNCTION("IMPORTRANGE(""https://docs.google.com/spreadsheets/d/1MeEWN-I1oV_STSDYn1IFDPWt_1FKiwhDph83XaGc0o0/edit?usp=sharing"",""งบพรบ!EJ87"")"),0)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IFERROR(__xludf.DUMMYFUNCTION("IMPORTRANGE(""https://docs.google.com/spreadsheets/d/1MeEWN-I1oV_STSDYn1IFDPWt_1FKiwhDph83XaGc0o0/edit?usp=sharing"",""งบพรบ!EF87"")"),0)</f>
        <v>0</v>
      </c>
      <c r="M323" s="92">
        <f ca="1">IFERROR(__xludf.DUMMYFUNCTION("IMPORTRANGE(""https://docs.google.com/spreadsheets/d/1MeEWN-I1oV_STSDYn1IFDPWt_1FKiwhDph83XaGc0o0/edit?usp=sharing"",""งบพรบ!EI87"")"),0)</f>
        <v>0</v>
      </c>
      <c r="N323" s="92">
        <f ca="1">IFERROR(__xludf.DUMMYFUNCTION("IMPORTRANGE(""https://docs.google.com/spreadsheets/d/1MeEWN-I1oV_STSDYn1IFDPWt_1FKiwhDph83XaGc0o0/edit?usp=sharing"",""งบพรบ!EK87"")"),0)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47" t="s">
        <v>38</v>
      </c>
      <c r="E324" s="172"/>
      <c r="F324" s="172"/>
      <c r="G324" s="173"/>
      <c r="H324" s="761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7"/>
      <c r="G325" s="178"/>
      <c r="H325" s="622" t="s">
        <v>146</v>
      </c>
      <c r="I325" s="269">
        <f ca="1">IFERROR(__xludf.DUMMYFUNCTION("IMPORTRANGE(""https://docs.google.com/spreadsheets/d/1QqKyyYR6Q21VydFLVH3TRQUabQu_ym0Zz7PgGX0-kHA/edit?usp=sharing"",""แผน!EF87"")"),0)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IFERROR(__xludf.DUMMYFUNCTION("IMPORTRANGE(""https://docs.google.com/spreadsheets/d/1QqKyyYR6Q21VydFLVH3TRQUabQu_ym0Zz7PgGX0-kHA/edit?usp=sharing"",""แผน!EG87"")"),200)</f>
        <v>200</v>
      </c>
      <c r="J327" s="444">
        <f ca="1">J338+J341+J342+J343</f>
        <v>657</v>
      </c>
      <c r="K327" s="445">
        <f ca="1">IF(I327&gt;0,J327*100/I327,0)</f>
        <v>328.5</v>
      </c>
      <c r="L327" s="446"/>
      <c r="M327" s="446"/>
      <c r="N327" s="446"/>
      <c r="O327" s="446"/>
      <c r="P327" s="446"/>
    </row>
    <row r="328" spans="1:26" ht="19.5">
      <c r="A328" s="146"/>
      <c r="B328" s="147"/>
      <c r="C328" s="148" t="s">
        <v>16</v>
      </c>
      <c r="D328" s="846" t="s">
        <v>17</v>
      </c>
      <c r="E328" s="147"/>
      <c r="F328" s="147"/>
      <c r="G328" s="150"/>
      <c r="H328" s="151" t="s">
        <v>12</v>
      </c>
      <c r="I328" s="420"/>
      <c r="J328" s="420"/>
      <c r="K328" s="153"/>
      <c r="L328" s="154">
        <f ca="1">L329+L330</f>
        <v>157000</v>
      </c>
      <c r="M328" s="154">
        <f ca="1">M329+M330</f>
        <v>159500</v>
      </c>
      <c r="N328" s="154">
        <f ca="1">N329+N330</f>
        <v>159500</v>
      </c>
      <c r="O328" s="154">
        <f t="shared" ref="O328:O336" ca="1" si="56">IF(L328&gt;0,N328*100/L328,0)</f>
        <v>101.59235668789809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6"/>
      <c r="J329" s="616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6"/>
      <c r="J330" s="616"/>
      <c r="K330" s="92"/>
      <c r="L330" s="92">
        <f t="shared" ca="1" si="58"/>
        <v>157000</v>
      </c>
      <c r="M330" s="92">
        <f t="shared" ca="1" si="58"/>
        <v>159500</v>
      </c>
      <c r="N330" s="92">
        <f t="shared" ca="1" si="58"/>
        <v>159500</v>
      </c>
      <c r="O330" s="92">
        <f t="shared" ca="1" si="56"/>
        <v>101.59235668789809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157000</v>
      </c>
      <c r="M331" s="497">
        <f ca="1">M332+M333</f>
        <v>159500</v>
      </c>
      <c r="N331" s="497">
        <f ca="1">N332+N333</f>
        <v>159500</v>
      </c>
      <c r="O331" s="497">
        <f t="shared" ca="1" si="56"/>
        <v>101.59235668789809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IFERROR(__xludf.DUMMYFUNCTION("IMPORTRANGE(""https://docs.google.com/spreadsheets/d/1MeEWN-I1oV_STSDYn1IFDPWt_1FKiwhDph83XaGc0o0/edit?usp=sharing"",""งบพรบ!EM87"")"),157000)</f>
        <v>157000</v>
      </c>
      <c r="M333" s="92">
        <f ca="1">IFERROR(__xludf.DUMMYFUNCTION("IMPORTRANGE(""https://docs.google.com/spreadsheets/d/1MeEWN-I1oV_STSDYn1IFDPWt_1FKiwhDph83XaGc0o0/edit?usp=sharing"",""งบพรบ!ER87"")"),159500)</f>
        <v>159500</v>
      </c>
      <c r="N333" s="92">
        <f ca="1">IFERROR(__xludf.DUMMYFUNCTION("IMPORTRANGE(""https://docs.google.com/spreadsheets/d/1MeEWN-I1oV_STSDYn1IFDPWt_1FKiwhDph83XaGc0o0/edit?usp=sharing"",""งบพรบ!ET87"")"),159500)</f>
        <v>159500</v>
      </c>
      <c r="O333" s="92">
        <f t="shared" ca="1" si="56"/>
        <v>101.59235668789809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IFERROR(__xludf.DUMMYFUNCTION("IMPORTRANGE(""https://docs.google.com/spreadsheets/d/1MeEWN-I1oV_STSDYn1IFDPWt_1FKiwhDph83XaGc0o0/edit?usp=sharing"",""งบพรบ!EP87"")"),0)</f>
        <v>0</v>
      </c>
      <c r="M336" s="92">
        <f ca="1">IFERROR(__xludf.DUMMYFUNCTION("IMPORTRANGE(""https://docs.google.com/spreadsheets/d/1MeEWN-I1oV_STSDYn1IFDPWt_1FKiwhDph83XaGc0o0/edit?usp=sharing"",""งบพรบ!ES87"")"),0)</f>
        <v>0</v>
      </c>
      <c r="N336" s="92">
        <f ca="1">IFERROR(__xludf.DUMMYFUNCTION("IMPORTRANGE(""https://docs.google.com/spreadsheets/d/1MeEWN-I1oV_STSDYn1IFDPWt_1FKiwhDph83XaGc0o0/edit?usp=sharing"",""งบพรบ!EU87"")"),0)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4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61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3"/>
      <c r="B338" s="32"/>
      <c r="C338" s="280"/>
      <c r="D338" s="447" t="s">
        <v>150</v>
      </c>
      <c r="E338" s="170"/>
      <c r="F338" s="32"/>
      <c r="G338" s="34"/>
      <c r="H338" s="276" t="s">
        <v>35</v>
      </c>
      <c r="I338" s="886">
        <f ca="1">IFERROR(__xludf.DUMMYFUNCTION("IMPORTRANGE(""https://docs.google.com/spreadsheets/d/1QqKyyYR6Q21VydFLVH3TRQUabQu_ym0Zz7PgGX0-kHA/edit?usp=sharing"",""แผน!EG87"")"),200)</f>
        <v>200</v>
      </c>
      <c r="J338" s="885">
        <f ca="1">IFERROR(__xludf.DUMMYFUNCTION("IMPORTRANGE(""https://docs.google.com/spreadsheets/d/1kVcqe37tkHyjCSG3S0O1AXqVkqjo8mSIZil3BcpIysc/edit?usp=sharing"",""ศูนย์!D87"")"),573)</f>
        <v>573</v>
      </c>
      <c r="K338" s="884">
        <f ca="1">IF(I338&gt;0,J338*100/I338,0)</f>
        <v>286.5</v>
      </c>
      <c r="L338" s="497"/>
      <c r="M338" s="497"/>
      <c r="N338" s="497"/>
      <c r="O338" s="497"/>
      <c r="P338" s="497"/>
    </row>
    <row r="339" spans="1:26" ht="18.75">
      <c r="A339" s="283"/>
      <c r="B339" s="32"/>
      <c r="C339" s="280"/>
      <c r="D339" s="447" t="s">
        <v>151</v>
      </c>
      <c r="E339" s="170"/>
      <c r="F339" s="32"/>
      <c r="G339" s="34"/>
      <c r="H339" s="276"/>
      <c r="I339" s="880"/>
      <c r="J339" s="883"/>
      <c r="K339" s="878"/>
      <c r="L339" s="497"/>
      <c r="M339" s="497"/>
      <c r="N339" s="497"/>
      <c r="O339" s="497"/>
      <c r="P339" s="497"/>
    </row>
    <row r="340" spans="1:26" ht="18.75">
      <c r="A340" s="283"/>
      <c r="B340" s="32"/>
      <c r="C340" s="280"/>
      <c r="D340" s="177"/>
      <c r="E340" s="447" t="s">
        <v>152</v>
      </c>
      <c r="F340" s="32"/>
      <c r="G340" s="34"/>
      <c r="H340" s="276" t="s">
        <v>153</v>
      </c>
      <c r="I340" s="882">
        <f ca="1">IFERROR(__xludf.DUMMYFUNCTION("IMPORTRANGE(""https://docs.google.com/spreadsheets/d/1QqKyyYR6Q21VydFLVH3TRQUabQu_ym0Zz7PgGX0-kHA/edit?usp=sharing"",""แผน!EH87"")"),2)</f>
        <v>2</v>
      </c>
      <c r="J340" s="879">
        <f ca="1">IFERROR(__xludf.DUMMYFUNCTION("IMPORTRANGE(""https://docs.google.com/spreadsheets/d/1kVcqe37tkHyjCSG3S0O1AXqVkqjo8mSIZil3BcpIysc/edit?usp=sharing"",""ศูนย์!E87"")"),3)</f>
        <v>3</v>
      </c>
      <c r="K340" s="881">
        <f ca="1">IF(I340&gt;0,J340*100/I340,0)</f>
        <v>150</v>
      </c>
      <c r="L340" s="497"/>
      <c r="M340" s="497"/>
      <c r="N340" s="497"/>
      <c r="O340" s="497"/>
      <c r="P340" s="497"/>
    </row>
    <row r="341" spans="1:26" ht="18.75">
      <c r="A341" s="283"/>
      <c r="B341" s="32"/>
      <c r="C341" s="280"/>
      <c r="D341" s="177"/>
      <c r="E341" s="447" t="s">
        <v>154</v>
      </c>
      <c r="F341" s="32"/>
      <c r="G341" s="34"/>
      <c r="H341" s="276" t="s">
        <v>35</v>
      </c>
      <c r="I341" s="880"/>
      <c r="J341" s="879">
        <f ca="1">IFERROR(__xludf.DUMMYFUNCTION("IMPORTRANGE(""https://docs.google.com/spreadsheets/d/1kVcqe37tkHyjCSG3S0O1AXqVkqjo8mSIZil3BcpIysc/edit?usp=sharing"",""ศูนย์!F87"")"),81)</f>
        <v>81</v>
      </c>
      <c r="K341" s="878"/>
      <c r="L341" s="497"/>
      <c r="M341" s="497"/>
      <c r="N341" s="497"/>
      <c r="O341" s="497"/>
      <c r="P341" s="497"/>
    </row>
    <row r="342" spans="1:26" ht="18.75">
      <c r="A342" s="283"/>
      <c r="B342" s="32"/>
      <c r="C342" s="280"/>
      <c r="D342" s="447" t="s">
        <v>155</v>
      </c>
      <c r="E342" s="177"/>
      <c r="F342" s="177"/>
      <c r="G342" s="34"/>
      <c r="H342" s="276" t="s">
        <v>35</v>
      </c>
      <c r="I342" s="880"/>
      <c r="J342" s="879">
        <f ca="1">IFERROR(__xludf.DUMMYFUNCTION("IMPORTRANGE(""https://docs.google.com/spreadsheets/d/1kVcqe37tkHyjCSG3S0O1AXqVkqjo8mSIZil3BcpIysc/edit?usp=sharing"",""ศูนย์!G87"")"),2)</f>
        <v>2</v>
      </c>
      <c r="K342" s="878"/>
      <c r="L342" s="497"/>
      <c r="M342" s="497"/>
      <c r="N342" s="497"/>
      <c r="O342" s="497"/>
      <c r="P342" s="497"/>
    </row>
    <row r="343" spans="1:26" ht="18.75">
      <c r="A343" s="283"/>
      <c r="B343" s="32"/>
      <c r="C343" s="280"/>
      <c r="D343" s="447" t="s">
        <v>156</v>
      </c>
      <c r="E343" s="177"/>
      <c r="F343" s="177"/>
      <c r="G343" s="34"/>
      <c r="H343" s="276" t="s">
        <v>35</v>
      </c>
      <c r="I343" s="880"/>
      <c r="J343" s="879">
        <f ca="1">IFERROR(__xludf.DUMMYFUNCTION("IMPORTRANGE(""https://docs.google.com/spreadsheets/d/1kVcqe37tkHyjCSG3S0O1AXqVkqjo8mSIZil3BcpIysc/edit?usp=sharing"",""ศูนย์!H87"")"),1)</f>
        <v>1</v>
      </c>
      <c r="K343" s="878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6"/>
      <c r="B345" s="147"/>
      <c r="C345" s="148" t="s">
        <v>16</v>
      </c>
      <c r="D345" s="846" t="s">
        <v>17</v>
      </c>
      <c r="E345" s="147"/>
      <c r="F345" s="147"/>
      <c r="G345" s="150"/>
      <c r="H345" s="151" t="s">
        <v>12</v>
      </c>
      <c r="I345" s="420"/>
      <c r="J345" s="420"/>
      <c r="K345" s="153"/>
      <c r="L345" s="154">
        <f ca="1">L346+L347</f>
        <v>518480</v>
      </c>
      <c r="M345" s="154">
        <f ca="1">M346+M347</f>
        <v>659380</v>
      </c>
      <c r="N345" s="154">
        <f ca="1">N346+N347</f>
        <v>659380</v>
      </c>
      <c r="O345" s="154">
        <f t="shared" ref="O345:O353" ca="1" si="59">IF(L345&gt;0,N345*100/L345,0)</f>
        <v>127.17559018669958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6"/>
      <c r="J346" s="616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6"/>
      <c r="J347" s="616"/>
      <c r="K347" s="92"/>
      <c r="L347" s="92">
        <f t="shared" ca="1" si="61"/>
        <v>518480</v>
      </c>
      <c r="M347" s="92">
        <f t="shared" ca="1" si="61"/>
        <v>659380</v>
      </c>
      <c r="N347" s="92">
        <f t="shared" ca="1" si="61"/>
        <v>659380</v>
      </c>
      <c r="O347" s="92">
        <f t="shared" ca="1" si="59"/>
        <v>127.17559018669958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442480</v>
      </c>
      <c r="M348" s="497">
        <f ca="1">M349+M350</f>
        <v>583380</v>
      </c>
      <c r="N348" s="497">
        <f ca="1">N349+N350</f>
        <v>583380</v>
      </c>
      <c r="O348" s="497">
        <f t="shared" ca="1" si="59"/>
        <v>131.84324715241368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IFERROR(__xludf.DUMMYFUNCTION("IMPORTRANGE(""https://docs.google.com/spreadsheets/d/1MeEWN-I1oV_STSDYn1IFDPWt_1FKiwhDph83XaGc0o0/edit?usp=sharing"",""งบพรบ!EW87"")"),442480)</f>
        <v>442480</v>
      </c>
      <c r="M350" s="92">
        <f ca="1">IFERROR(__xludf.DUMMYFUNCTION("IMPORTRANGE(""https://docs.google.com/spreadsheets/d/1MeEWN-I1oV_STSDYn1IFDPWt_1FKiwhDph83XaGc0o0/edit?usp=sharing"",""งบพรบ!FB87"")"),583380)</f>
        <v>583380</v>
      </c>
      <c r="N350" s="92">
        <f ca="1">IFERROR(__xludf.DUMMYFUNCTION("IMPORTRANGE(""https://docs.google.com/spreadsheets/d/1MeEWN-I1oV_STSDYn1IFDPWt_1FKiwhDph83XaGc0o0/edit?usp=sharing"",""งบพรบ!FD87"")"),583380)</f>
        <v>583380</v>
      </c>
      <c r="O350" s="92">
        <f t="shared" ca="1" si="59"/>
        <v>131.84324715241368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76000</v>
      </c>
      <c r="M351" s="497">
        <f ca="1">M352+M353</f>
        <v>76000</v>
      </c>
      <c r="N351" s="497">
        <f ca="1">N352+N353</f>
        <v>76000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IFERROR(__xludf.DUMMYFUNCTION("IMPORTRANGE(""https://docs.google.com/spreadsheets/d/1MeEWN-I1oV_STSDYn1IFDPWt_1FKiwhDph83XaGc0o0/edit?usp=sharing"",""งบพรบ!EZ87"")"),76000)</f>
        <v>76000</v>
      </c>
      <c r="M353" s="92">
        <f ca="1">IFERROR(__xludf.DUMMYFUNCTION("IMPORTRANGE(""https://docs.google.com/spreadsheets/d/1MeEWN-I1oV_STSDYn1IFDPWt_1FKiwhDph83XaGc0o0/edit?usp=sharing"",""งบพรบ!FC87"")"),76000)</f>
        <v>76000</v>
      </c>
      <c r="N353" s="92">
        <f ca="1">IFERROR(__xludf.DUMMYFUNCTION("IMPORTRANGE(""https://docs.google.com/spreadsheets/d/1MeEWN-I1oV_STSDYn1IFDPWt_1FKiwhDph83XaGc0o0/edit?usp=sharing"",""งบพรบ!FE87"")"),76000)</f>
        <v>76000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1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IFERROR(__xludf.DUMMYFUNCTION("IMPORTRANGE(""https://docs.google.com/spreadsheets/d/1QqKyyYR6Q21VydFLVH3TRQUabQu_ym0Zz7PgGX0-kHA/edit?usp=sharing"",""แผน!EP87"")"),59)</f>
        <v>59</v>
      </c>
      <c r="J355" s="464">
        <f ca="1">J362</f>
        <v>76</v>
      </c>
      <c r="K355" s="465">
        <f ca="1">IF(I355&gt;0,J355*100/I355,0)</f>
        <v>128.81355932203391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47" t="s">
        <v>38</v>
      </c>
      <c r="E357" s="172"/>
      <c r="F357" s="172"/>
      <c r="G357" s="173"/>
      <c r="H357" s="761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IFERROR(__xludf.DUMMYFUNCTION("IMPORTRANGE(""https://docs.google.com/spreadsheets/d/1XWAQStnk-4SwqDmLtmXYiTMKHgktTP8We1SCoS47DrQ/edit?usp=sharing"",""จัดที่ดิน!W87"")"),75)</f>
        <v>75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IFERROR(__xludf.DUMMYFUNCTION("IMPORTRANGE(""https://docs.google.com/spreadsheets/d/1QqKyyYR6Q21VydFLVH3TRQUabQu_ym0Zz7PgGX0-kHA/edit?usp=sharing"",""แผน!EO87"")"),379)</f>
        <v>379</v>
      </c>
      <c r="J359" s="269">
        <f ca="1">IFERROR(__xludf.DUMMYFUNCTION("IMPORTRANGE(""https://docs.google.com/spreadsheets/d/1XWAQStnk-4SwqDmLtmXYiTMKHgktTP8We1SCoS47DrQ/edit?usp=sharing"",""จัดที่ดิน!X87"")"),384.909999999999)</f>
        <v>384.909999999999</v>
      </c>
      <c r="K359" s="497">
        <f t="shared" ca="1" si="62"/>
        <v>101.55936675461714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63" t="s">
        <v>35</v>
      </c>
      <c r="I360" s="269">
        <f ca="1">IFERROR(__xludf.DUMMYFUNCTION("IMPORTRANGE(""https://docs.google.com/spreadsheets/d/1QqKyyYR6Q21VydFLVH3TRQUabQu_ym0Zz7PgGX0-kHA/edit?usp=sharing"",""แผน!EP87"")"),59)</f>
        <v>59</v>
      </c>
      <c r="J360" s="269">
        <f ca="1">IFERROR(__xludf.DUMMYFUNCTION("IMPORTRANGE(""https://docs.google.com/spreadsheets/d/1XWAQStnk-4SwqDmLtmXYiTMKHgktTP8We1SCoS47DrQ/edit?usp=sharing"",""จัดที่ดิน!Y87"")"),76)</f>
        <v>76</v>
      </c>
      <c r="K360" s="497">
        <f t="shared" ca="1" si="62"/>
        <v>128.81355932203391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63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IFERROR(__xludf.DUMMYFUNCTION("IMPORTRANGE(""https://docs.google.com/spreadsheets/d/1XWAQStnk-4SwqDmLtmXYiTMKHgktTP8We1SCoS47DrQ/edit?usp=sharing"",""จัดที่ดิน!Z87"")"),391.95)</f>
        <v>391.95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63" t="s">
        <v>35</v>
      </c>
      <c r="I362" s="269">
        <f ca="1">IFERROR(__xludf.DUMMYFUNCTION("IMPORTRANGE(""https://docs.google.com/spreadsheets/d/1QqKyyYR6Q21VydFLVH3TRQUabQu_ym0Zz7PgGX0-kHA/edit?usp=sharing"",""แผน!EP87"")"),59)</f>
        <v>59</v>
      </c>
      <c r="J362" s="269">
        <f ca="1">IFERROR(__xludf.DUMMYFUNCTION("IMPORTRANGE(""https://docs.google.com/spreadsheets/d/1XWAQStnk-4SwqDmLtmXYiTMKHgktTP8We1SCoS47DrQ/edit?usp=sharing"",""จัดที่ดิน!AA87"")"),76)</f>
        <v>76</v>
      </c>
      <c r="K362" s="497">
        <f t="shared" ca="1" si="62"/>
        <v>128.81355932203391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7"/>
      <c r="F363" s="177"/>
      <c r="G363" s="178"/>
      <c r="H363" s="763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IFERROR(__xludf.DUMMYFUNCTION("IMPORTRANGE(""https://docs.google.com/spreadsheets/d/1XWAQStnk-4SwqDmLtmXYiTMKHgktTP8We1SCoS47DrQ/edit?usp=sharing"",""จัดที่ดิน!AB87"")"),391.95)</f>
        <v>391.95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75</v>
      </c>
      <c r="J364" s="478">
        <f ca="1">J365+J374</f>
        <v>97</v>
      </c>
      <c r="K364" s="479">
        <f t="shared" ca="1" si="62"/>
        <v>129.33333333333334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IFERROR(__xludf.DUMMYFUNCTION("IMPORTRANGE(""https://docs.google.com/spreadsheets/d/1QqKyyYR6Q21VydFLVH3TRQUabQu_ym0Zz7PgGX0-kHA/edit?usp=sharing"",""แผน!EJ87"")"),35)</f>
        <v>35</v>
      </c>
      <c r="J365" s="490">
        <f ca="1">J372</f>
        <v>48</v>
      </c>
      <c r="K365" s="491">
        <f t="shared" ca="1" si="62"/>
        <v>137.14285714285714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47" t="s">
        <v>38</v>
      </c>
      <c r="E367" s="172"/>
      <c r="F367" s="172"/>
      <c r="G367" s="173"/>
      <c r="H367" s="761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IFERROR(__xludf.DUMMYFUNCTION("IMPORTRANGE(""https://docs.google.com/spreadsheets/d/1XWAQStnk-4SwqDmLtmXYiTMKHgktTP8We1SCoS47DrQ/edit?usp=sharing"",""จัดที่ดิน!E87"")"),47)</f>
        <v>47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IFERROR(__xludf.DUMMYFUNCTION("IMPORTRANGE(""https://docs.google.com/spreadsheets/d/1QqKyyYR6Q21VydFLVH3TRQUabQu_ym0Zz7PgGX0-kHA/edit?usp=sharing"",""แผน!EI87"")"),200)</f>
        <v>200</v>
      </c>
      <c r="J369" s="269">
        <f ca="1">IFERROR(__xludf.DUMMYFUNCTION("IMPORTRANGE(""https://docs.google.com/spreadsheets/d/1XWAQStnk-4SwqDmLtmXYiTMKHgktTP8We1SCoS47DrQ/edit?usp=sharing"",""จัดที่ดิน!F87"")"),203.56)</f>
        <v>203.56</v>
      </c>
      <c r="K369" s="497">
        <f t="shared" ca="1" si="63"/>
        <v>101.78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63" t="s">
        <v>35</v>
      </c>
      <c r="I370" s="269">
        <f ca="1">IFERROR(__xludf.DUMMYFUNCTION("IMPORTRANGE(""https://docs.google.com/spreadsheets/d/1QqKyyYR6Q21VydFLVH3TRQUabQu_ym0Zz7PgGX0-kHA/edit?usp=sharing"",""แผน!EJ87"")"),35)</f>
        <v>35</v>
      </c>
      <c r="J370" s="269">
        <f ca="1">IFERROR(__xludf.DUMMYFUNCTION("IMPORTRANGE(""https://docs.google.com/spreadsheets/d/1XWAQStnk-4SwqDmLtmXYiTMKHgktTP8We1SCoS47DrQ/edit?usp=sharing"",""จัดที่ดิน!G87"")"),48)</f>
        <v>48</v>
      </c>
      <c r="K370" s="497">
        <f t="shared" ca="1" si="63"/>
        <v>137.14285714285714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63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IFERROR(__xludf.DUMMYFUNCTION("IMPORTRANGE(""https://docs.google.com/spreadsheets/d/1XWAQStnk-4SwqDmLtmXYiTMKHgktTP8We1SCoS47DrQ/edit?usp=sharing"",""จัดที่ดิน!H87"")"),210.6)</f>
        <v>210.6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63" t="s">
        <v>35</v>
      </c>
      <c r="I372" s="269">
        <f ca="1">IFERROR(__xludf.DUMMYFUNCTION("IMPORTRANGE(""https://docs.google.com/spreadsheets/d/1QqKyyYR6Q21VydFLVH3TRQUabQu_ym0Zz7PgGX0-kHA/edit?usp=sharing"",""แผน!EJ87"")"),35)</f>
        <v>35</v>
      </c>
      <c r="J372" s="269">
        <f ca="1">IFERROR(__xludf.DUMMYFUNCTION("IMPORTRANGE(""https://docs.google.com/spreadsheets/d/1XWAQStnk-4SwqDmLtmXYiTMKHgktTP8We1SCoS47DrQ/edit?usp=sharing"",""จัดที่ดิน!I87"")"),48)</f>
        <v>48</v>
      </c>
      <c r="K372" s="497">
        <f t="shared" ca="1" si="63"/>
        <v>137.14285714285714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7"/>
      <c r="C373" s="170"/>
      <c r="D373" s="177"/>
      <c r="E373" s="447"/>
      <c r="F373" s="177"/>
      <c r="G373" s="178"/>
      <c r="H373" s="763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IFERROR(__xludf.DUMMYFUNCTION("IMPORTRANGE(""https://docs.google.com/spreadsheets/d/1XWAQStnk-4SwqDmLtmXYiTMKHgktTP8We1SCoS47DrQ/edit?usp=sharing"",""จัดที่ดิน!J87"")"),210.6)</f>
        <v>210.6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IFERROR(__xludf.DUMMYFUNCTION("IMPORTRANGE(""https://docs.google.com/spreadsheets/d/1QqKyyYR6Q21VydFLVH3TRQUabQu_ym0Zz7PgGX0-kHA/edit?usp=sharing"",""แผน!EU87"")"),40)</f>
        <v>40</v>
      </c>
      <c r="J374" s="490">
        <f ca="1">J381</f>
        <v>49</v>
      </c>
      <c r="K374" s="491">
        <f t="shared" ca="1" si="63"/>
        <v>122.5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47" t="s">
        <v>38</v>
      </c>
      <c r="E376" s="172"/>
      <c r="F376" s="172"/>
      <c r="G376" s="173"/>
      <c r="H376" s="761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IFERROR(__xludf.DUMMYFUNCTION("IMPORTRANGE(""https://docs.google.com/spreadsheets/d/1XWAQStnk-4SwqDmLtmXYiTMKHgktTP8We1SCoS47DrQ/edit?usp=sharing"",""จัดที่ดิน!AH87"")"),28)</f>
        <v>28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IFERROR(__xludf.DUMMYFUNCTION("IMPORTRANGE(""https://docs.google.com/spreadsheets/d/1QqKyyYR6Q21VydFLVH3TRQUabQu_ym0Zz7PgGX0-kHA/edit?usp=sharing"",""แผน!ET87"")"),179)</f>
        <v>179</v>
      </c>
      <c r="J378" s="269">
        <f ca="1">IFERROR(__xludf.DUMMYFUNCTION("IMPORTRANGE(""https://docs.google.com/spreadsheets/d/1XWAQStnk-4SwqDmLtmXYiTMKHgktTP8We1SCoS47DrQ/edit?usp=sharing"",""จัดที่ดิน!AI87"")"),181.35)</f>
        <v>181.35</v>
      </c>
      <c r="K378" s="497">
        <f t="shared" ca="1" si="64"/>
        <v>101.31284916201118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63" t="s">
        <v>35</v>
      </c>
      <c r="I379" s="269">
        <f ca="1">IFERROR(__xludf.DUMMYFUNCTION("IMPORTRANGE(""https://docs.google.com/spreadsheets/d/1QqKyyYR6Q21VydFLVH3TRQUabQu_ym0Zz7PgGX0-kHA/edit?usp=sharing"",""แผน!EU87"")"),40)</f>
        <v>40</v>
      </c>
      <c r="J379" s="269">
        <f ca="1">IFERROR(__xludf.DUMMYFUNCTION("IMPORTRANGE(""https://docs.google.com/spreadsheets/d/1XWAQStnk-4SwqDmLtmXYiTMKHgktTP8We1SCoS47DrQ/edit?usp=sharing"",""จัดที่ดิน!AJ87"")"),49)</f>
        <v>49</v>
      </c>
      <c r="K379" s="497">
        <f t="shared" ca="1" si="64"/>
        <v>122.5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63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IFERROR(__xludf.DUMMYFUNCTION("IMPORTRANGE(""https://docs.google.com/spreadsheets/d/1XWAQStnk-4SwqDmLtmXYiTMKHgktTP8We1SCoS47DrQ/edit?usp=sharing"",""จัดที่ดิน!AK87"")"),380.73)</f>
        <v>380.73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63" t="s">
        <v>35</v>
      </c>
      <c r="I381" s="269">
        <f ca="1">IFERROR(__xludf.DUMMYFUNCTION("IMPORTRANGE(""https://docs.google.com/spreadsheets/d/1QqKyyYR6Q21VydFLVH3TRQUabQu_ym0Zz7PgGX0-kHA/edit?usp=sharing"",""แผน!EU87"")"),40)</f>
        <v>40</v>
      </c>
      <c r="J381" s="269">
        <f ca="1">IFERROR(__xludf.DUMMYFUNCTION("IMPORTRANGE(""https://docs.google.com/spreadsheets/d/1XWAQStnk-4SwqDmLtmXYiTMKHgktTP8We1SCoS47DrQ/edit?usp=sharing"",""จัดที่ดิน!AL87"")"),49)</f>
        <v>49</v>
      </c>
      <c r="K381" s="497">
        <f t="shared" ca="1" si="64"/>
        <v>122.5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7"/>
      <c r="C382" s="170"/>
      <c r="D382" s="177"/>
      <c r="E382" s="447"/>
      <c r="F382" s="177"/>
      <c r="G382" s="178"/>
      <c r="H382" s="763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IFERROR(__xludf.DUMMYFUNCTION("IMPORTRANGE(""https://docs.google.com/spreadsheets/d/1XWAQStnk-4SwqDmLtmXYiTMKHgktTP8We1SCoS47DrQ/edit?usp=sharing"",""จัดที่ดิน!AM87"")"),380.73)</f>
        <v>380.73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498"/>
      <c r="B383" s="499"/>
      <c r="C383" s="290"/>
      <c r="D383" s="849" t="s">
        <v>169</v>
      </c>
      <c r="E383" s="290"/>
      <c r="F383" s="290"/>
      <c r="G383" s="501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4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761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503" t="s">
        <v>170</v>
      </c>
      <c r="F385" s="380"/>
      <c r="G385" s="381"/>
      <c r="H385" s="504" t="s">
        <v>35</v>
      </c>
      <c r="I385" s="505">
        <f ca="1">IFERROR(__xludf.DUMMYFUNCTION("IMPORTRANGE(""https://docs.google.com/spreadsheets/d/1QqKyyYR6Q21VydFLVH3TRQUabQu_ym0Zz7PgGX0-kHA/edit?usp=sharing"",""แผน!EW87"")"),5)</f>
        <v>5</v>
      </c>
      <c r="J385" s="505">
        <f ca="1">IFERROR(__xludf.DUMMYFUNCTION("IMPORTRANGE(""https://docs.google.com/spreadsheets/d/1XWAQStnk-4SwqDmLtmXYiTMKHgktTP8We1SCoS47DrQ/edit?usp=sharing"",""จัดที่ดิน!AP87"")"),6)</f>
        <v>6</v>
      </c>
      <c r="K385" s="506">
        <f ca="1">IF(I385&gt;0,J385*100/I385,0)</f>
        <v>120</v>
      </c>
      <c r="L385" s="384"/>
      <c r="M385" s="384"/>
      <c r="N385" s="384"/>
      <c r="O385" s="384"/>
      <c r="P385" s="384"/>
    </row>
    <row r="386" spans="1:26" ht="19.5" hidden="1">
      <c r="A386" s="507" t="s">
        <v>171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172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173</v>
      </c>
      <c r="C388" s="522"/>
      <c r="D388" s="523"/>
      <c r="E388" s="523"/>
      <c r="F388" s="523"/>
      <c r="G388" s="524"/>
      <c r="H388" s="525" t="s">
        <v>66</v>
      </c>
      <c r="I388" s="526">
        <f>I400</f>
        <v>0</v>
      </c>
      <c r="J388" s="526">
        <f>J400</f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6"/>
      <c r="B389" s="147"/>
      <c r="C389" s="148" t="s">
        <v>16</v>
      </c>
      <c r="D389" s="846" t="s">
        <v>17</v>
      </c>
      <c r="E389" s="147"/>
      <c r="F389" s="147"/>
      <c r="G389" s="150"/>
      <c r="H389" s="151" t="s">
        <v>12</v>
      </c>
      <c r="I389" s="420"/>
      <c r="J389" s="420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6"/>
      <c r="J390" s="616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6"/>
      <c r="J391" s="616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IFERROR(__xludf.DUMMYFUNCTION("IMPORTRANGE(""https://docs.google.com/spreadsheets/d/1MeEWN-I1oV_STSDYn1IFDPWt_1FKiwhDph83XaGc0o0/edit?usp=sharing"",""งบพรบ!FG87"")"),0)</f>
        <v>0</v>
      </c>
      <c r="M394" s="92">
        <f ca="1">IFERROR(__xludf.DUMMYFUNCTION("IMPORTRANGE(""https://docs.google.com/spreadsheets/d/1MeEWN-I1oV_STSDYn1IFDPWt_1FKiwhDph83XaGc0o0/edit?usp=sharing"",""งบพรบ!FL87"")"),0)</f>
        <v>0</v>
      </c>
      <c r="N394" s="92">
        <f ca="1">IFERROR(__xludf.DUMMYFUNCTION("IMPORTRANGE(""https://docs.google.com/spreadsheets/d/1MeEWN-I1oV_STSDYn1IFDPWt_1FKiwhDph83XaGc0o0/edit?usp=sharing"",""งบพรบ!FN87"")"),0)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IFERROR(__xludf.DUMMYFUNCTION("IMPORTRANGE(""https://docs.google.com/spreadsheets/d/1MeEWN-I1oV_STSDYn1IFDPWt_1FKiwhDph83XaGc0o0/edit?usp=sharing"",""งบพรบ!FJ87"")"),0)</f>
        <v>0</v>
      </c>
      <c r="M397" s="92">
        <f ca="1">IFERROR(__xludf.DUMMYFUNCTION("IMPORTRANGE(""https://docs.google.com/spreadsheets/d/1MeEWN-I1oV_STSDYn1IFDPWt_1FKiwhDph83XaGc0o0/edit?usp=sharing"",""งบพรบ!FM87"")"),0)</f>
        <v>0</v>
      </c>
      <c r="N397" s="92">
        <f ca="1">IFERROR(__xludf.DUMMYFUNCTION("IMPORTRANGE(""https://docs.google.com/spreadsheets/d/1MeEWN-I1oV_STSDYn1IFDPWt_1FKiwhDph83XaGc0o0/edit?usp=sharing"",""งบพรบ!FO87"")"),0)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47" t="s">
        <v>38</v>
      </c>
      <c r="E398" s="172"/>
      <c r="F398" s="172"/>
      <c r="G398" s="173"/>
      <c r="H398" s="761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9"/>
      <c r="B399" s="147"/>
      <c r="C399" s="530"/>
      <c r="D399" s="531" t="s">
        <v>174</v>
      </c>
      <c r="E399" s="415"/>
      <c r="F399" s="147"/>
      <c r="G399" s="150"/>
      <c r="H399" s="532" t="s">
        <v>9</v>
      </c>
      <c r="I399" s="269">
        <v>0</v>
      </c>
      <c r="J399" s="214">
        <v>0</v>
      </c>
      <c r="K399" s="497">
        <f>IF(I399&gt;0,J399*100/I399,0)</f>
        <v>0</v>
      </c>
      <c r="L399" s="533"/>
      <c r="M399" s="533"/>
      <c r="N399" s="533"/>
      <c r="O399" s="533"/>
      <c r="P399" s="533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3"/>
      <c r="B400" s="32"/>
      <c r="C400" s="280"/>
      <c r="D400" s="447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20"/>
      <c r="B401" s="521" t="s">
        <v>176</v>
      </c>
      <c r="C401" s="522"/>
      <c r="D401" s="523"/>
      <c r="E401" s="523"/>
      <c r="F401" s="523"/>
      <c r="G401" s="524"/>
      <c r="H401" s="525" t="s">
        <v>66</v>
      </c>
      <c r="I401" s="526">
        <f>I412</f>
        <v>0</v>
      </c>
      <c r="J401" s="526">
        <f>J412</f>
        <v>0</v>
      </c>
      <c r="K401" s="527">
        <f>IF(I401&gt;0,J401*100/I401,0)</f>
        <v>0</v>
      </c>
      <c r="L401" s="528"/>
      <c r="M401" s="528"/>
      <c r="N401" s="528"/>
      <c r="O401" s="528"/>
      <c r="P401" s="528"/>
    </row>
    <row r="402" spans="1:26" ht="19.5" hidden="1">
      <c r="A402" s="146"/>
      <c r="B402" s="147"/>
      <c r="C402" s="148" t="s">
        <v>16</v>
      </c>
      <c r="D402" s="846" t="s">
        <v>17</v>
      </c>
      <c r="E402" s="147"/>
      <c r="F402" s="147"/>
      <c r="G402" s="150"/>
      <c r="H402" s="151" t="s">
        <v>12</v>
      </c>
      <c r="I402" s="420"/>
      <c r="J402" s="420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6"/>
      <c r="J403" s="616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6"/>
      <c r="J404" s="616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IFERROR(__xludf.DUMMYFUNCTION("IMPORTRANGE(""https://docs.google.com/spreadsheets/d/1MeEWN-I1oV_STSDYn1IFDPWt_1FKiwhDph83XaGc0o0/edit?usp=sharing"",""งบพรบ!FQ87"")"),0)</f>
        <v>0</v>
      </c>
      <c r="M407" s="92">
        <f ca="1">IFERROR(__xludf.DUMMYFUNCTION("IMPORTRANGE(""https://docs.google.com/spreadsheets/d/1MeEWN-I1oV_STSDYn1IFDPWt_1FKiwhDph83XaGc0o0/edit?usp=sharing"",""งบพรบ!FV87"")"),0)</f>
        <v>0</v>
      </c>
      <c r="N407" s="92">
        <f ca="1">IFERROR(__xludf.DUMMYFUNCTION("IMPORTRANGE(""https://docs.google.com/spreadsheets/d/1MeEWN-I1oV_STSDYn1IFDPWt_1FKiwhDph83XaGc0o0/edit?usp=sharing"",""งบพรบ!FX87"")"),0)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IFERROR(__xludf.DUMMYFUNCTION("IMPORTRANGE(""https://docs.google.com/spreadsheets/d/1MeEWN-I1oV_STSDYn1IFDPWt_1FKiwhDph83XaGc0o0/edit?usp=sharing"",""งบพรบ!FT87"")"),0)</f>
        <v>0</v>
      </c>
      <c r="M410" s="92">
        <f ca="1">IFERROR(__xludf.DUMMYFUNCTION("IMPORTRANGE(""https://docs.google.com/spreadsheets/d/1MeEWN-I1oV_STSDYn1IFDPWt_1FKiwhDph83XaGc0o0/edit?usp=sharing"",""งบพรบ!FW87"")"),0)</f>
        <v>0</v>
      </c>
      <c r="N410" s="92">
        <f ca="1">IFERROR(__xludf.DUMMYFUNCTION("IMPORTRANGE(""https://docs.google.com/spreadsheets/d/1MeEWN-I1oV_STSDYn1IFDPWt_1FKiwhDph83XaGc0o0/edit?usp=sharing"",""งบพรบ!FY87"")"),0)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45" t="s">
        <v>38</v>
      </c>
      <c r="E411" s="535"/>
      <c r="F411" s="535"/>
      <c r="G411" s="536"/>
      <c r="H411" s="761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7" t="s">
        <v>177</v>
      </c>
      <c r="E412" s="177"/>
      <c r="F412" s="177"/>
      <c r="G412" s="178"/>
      <c r="H412" s="537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8"/>
      <c r="B413" s="539"/>
      <c r="C413" s="539"/>
      <c r="D413" s="540" t="s">
        <v>178</v>
      </c>
      <c r="E413" s="539"/>
      <c r="F413" s="539"/>
      <c r="G413" s="541"/>
      <c r="H413" s="542" t="s">
        <v>179</v>
      </c>
      <c r="I413" s="543">
        <v>0</v>
      </c>
      <c r="J413" s="544">
        <v>0</v>
      </c>
      <c r="K413" s="545">
        <f>IF(I413&gt;0,J413*100/I413,0)</f>
        <v>0</v>
      </c>
      <c r="L413" s="546"/>
      <c r="M413" s="546"/>
      <c r="N413" s="546"/>
      <c r="O413" s="546"/>
      <c r="P413" s="546"/>
    </row>
    <row r="414" spans="1:26" ht="19.5">
      <c r="A414" s="547" t="s">
        <v>180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ca="1">L419+L444+L467+L502+L523+L544+L629+L655+L685+L737+L754+L770+L786+L805</f>
        <v>431536</v>
      </c>
      <c r="M414" s="553">
        <f ca="1">M419+M444+M467+M502+M523+M544+M629+M655+M685+M737+M754+M770+M786+M805</f>
        <v>444512</v>
      </c>
      <c r="N414" s="553">
        <f>N419+N444+N467+N502+N523+N544+N629+N655+N685+N737+N754+N770+N786+N805</f>
        <v>444512</v>
      </c>
      <c r="O414" s="553">
        <f ca="1">IF(L414&gt;0,N414*100/L414,0)</f>
        <v>103.00693337288199</v>
      </c>
      <c r="P414" s="553">
        <f ca="1">IF(M414&gt;0,N414*100/M414,0)</f>
        <v>100</v>
      </c>
    </row>
    <row r="415" spans="1:26" ht="19.5">
      <c r="A415" s="554" t="s">
        <v>181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182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183</v>
      </c>
      <c r="C417" s="565"/>
      <c r="D417" s="566"/>
      <c r="E417" s="566"/>
      <c r="F417" s="566"/>
      <c r="G417" s="567"/>
      <c r="H417" s="568" t="s">
        <v>35</v>
      </c>
      <c r="I417" s="569">
        <f ca="1">I433</f>
        <v>15</v>
      </c>
      <c r="J417" s="569">
        <f ca="1">J433</f>
        <v>15</v>
      </c>
      <c r="K417" s="570">
        <f ca="1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ca="1">I434</f>
        <v>1</v>
      </c>
      <c r="J418" s="569">
        <f>J434</f>
        <v>1</v>
      </c>
      <c r="K418" s="570">
        <f ca="1">IF(I418&gt;0,J418*100/I418,0)</f>
        <v>100</v>
      </c>
      <c r="L418" s="571"/>
      <c r="M418" s="571"/>
      <c r="N418" s="571"/>
      <c r="O418" s="571"/>
      <c r="P418" s="571"/>
    </row>
    <row r="419" spans="1:26" ht="19.5">
      <c r="A419" s="146"/>
      <c r="B419" s="147"/>
      <c r="C419" s="147" t="s">
        <v>16</v>
      </c>
      <c r="D419" s="910" t="s">
        <v>17</v>
      </c>
      <c r="E419" s="890"/>
      <c r="F419" s="890"/>
      <c r="G419" s="150"/>
      <c r="H419" s="274" t="s">
        <v>12</v>
      </c>
      <c r="I419" s="420"/>
      <c r="J419" s="420"/>
      <c r="K419" s="153"/>
      <c r="L419" s="154">
        <f ca="1">L420+L421</f>
        <v>66560</v>
      </c>
      <c r="M419" s="154">
        <f ca="1">M420+M421</f>
        <v>66560</v>
      </c>
      <c r="N419" s="154">
        <f>N420+N421</f>
        <v>66560</v>
      </c>
      <c r="O419" s="154">
        <f t="shared" ref="O419:O424" ca="1" si="71">IF(L419&gt;0,N419*100/L419,0)</f>
        <v>100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6"/>
      <c r="J420" s="616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6"/>
      <c r="J421" s="616"/>
      <c r="K421" s="92"/>
      <c r="L421" s="92">
        <f t="shared" ca="1" si="73"/>
        <v>66560</v>
      </c>
      <c r="M421" s="92">
        <f t="shared" ca="1" si="73"/>
        <v>66560</v>
      </c>
      <c r="N421" s="92">
        <f t="shared" si="73"/>
        <v>66560</v>
      </c>
      <c r="O421" s="92">
        <f t="shared" ca="1" si="71"/>
        <v>100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66560</v>
      </c>
      <c r="M422" s="497">
        <f ca="1">M423+M424</f>
        <v>66560</v>
      </c>
      <c r="N422" s="497">
        <f>N423+N424</f>
        <v>66560</v>
      </c>
      <c r="O422" s="497">
        <f t="shared" ca="1" si="71"/>
        <v>100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6"/>
      <c r="J423" s="616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6"/>
      <c r="J424" s="616"/>
      <c r="K424" s="92"/>
      <c r="L424" s="92">
        <f ca="1">IFERROR(__xludf.DUMMYFUNCTION("IMPORTRANGE(""https://docs.google.com/spreadsheets/d/1QqKyyYR6Q21VydFLVH3TRQUabQu_ym0Zz7PgGX0-kHA/edit?usp=sharing"",""แผน!EY87"")"),66560)</f>
        <v>66560</v>
      </c>
      <c r="M424" s="92">
        <f ca="1">L424</f>
        <v>66560</v>
      </c>
      <c r="N424" s="92">
        <f>N425+N426+N427+N428</f>
        <v>66560</v>
      </c>
      <c r="O424" s="92">
        <f t="shared" ca="1" si="71"/>
        <v>100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73"/>
      <c r="B425" s="574"/>
      <c r="C425" s="762"/>
      <c r="D425" s="762"/>
      <c r="E425" s="762"/>
      <c r="F425" s="762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826">
        <v>36300</v>
      </c>
      <c r="O425" s="497"/>
      <c r="P425" s="497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826">
        <v>0</v>
      </c>
      <c r="O426" s="497"/>
      <c r="P426" s="497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826">
        <v>0</v>
      </c>
      <c r="O427" s="497"/>
      <c r="P427" s="497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3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826">
        <v>30260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IFERROR(__xludf.DUMMYFUNCTION("IMPORTRANGE(""https://docs.google.com/spreadsheets/d/1QqKyyYR6Q21VydFLVH3TRQUabQu_ym0Zz7PgGX0-kHA/edit?usp=sharing"",""แผน!FB87"")"),0)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4"/>
      <c r="B432" s="415"/>
      <c r="C432" s="147" t="s">
        <v>16</v>
      </c>
      <c r="D432" s="844" t="s">
        <v>38</v>
      </c>
      <c r="E432" s="579"/>
      <c r="F432" s="579"/>
      <c r="G432" s="580"/>
      <c r="H432" s="581"/>
      <c r="I432" s="420"/>
      <c r="J432" s="420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80">
        <f ca="1">I438+I440</f>
        <v>1</v>
      </c>
      <c r="J434" s="680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7" t="s">
        <v>192</v>
      </c>
      <c r="E435" s="177"/>
      <c r="F435" s="177"/>
      <c r="G435" s="178"/>
      <c r="H435" s="622" t="s">
        <v>35</v>
      </c>
      <c r="I435" s="582">
        <f ca="1">IFERROR(__xludf.DUMMYFUNCTION("IMPORTRANGE(""https://docs.google.com/spreadsheets/d/1QqKyyYR6Q21VydFLVH3TRQUabQu_ym0Zz7PgGX0-kHA/edit?usp=sharing"",""แผน!FC87"")"),15)</f>
        <v>15</v>
      </c>
      <c r="J435" s="583">
        <v>15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7" t="s">
        <v>193</v>
      </c>
      <c r="E436" s="177"/>
      <c r="F436" s="177"/>
      <c r="G436" s="178"/>
      <c r="H436" s="622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7" t="s">
        <v>194</v>
      </c>
      <c r="E437" s="177"/>
      <c r="F437" s="177"/>
      <c r="G437" s="178"/>
      <c r="H437" s="622" t="s">
        <v>35</v>
      </c>
      <c r="I437" s="582">
        <f ca="1">IFERROR(__xludf.DUMMYFUNCTION("IMPORTRANGE(""https://docs.google.com/spreadsheets/d/1QqKyyYR6Q21VydFLVH3TRQUabQu_ym0Zz7PgGX0-kHA/edit?usp=sharing"",""แผน!FD87"")"),0)</f>
        <v>0</v>
      </c>
      <c r="J437" s="583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7" t="s">
        <v>195</v>
      </c>
      <c r="E438" s="177"/>
      <c r="F438" s="177"/>
      <c r="G438" s="178"/>
      <c r="H438" s="622" t="s">
        <v>49</v>
      </c>
      <c r="I438" s="269">
        <f ca="1">IFERROR(__xludf.DUMMYFUNCTION("IMPORTRANGE(""https://docs.google.com/spreadsheets/d/1QqKyyYR6Q21VydFLVH3TRQUabQu_ym0Zz7PgGX0-kHA/edit?usp=sharing"",""แผน!FE87"")"),0)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7" t="s">
        <v>196</v>
      </c>
      <c r="E439" s="177"/>
      <c r="F439" s="177"/>
      <c r="G439" s="178"/>
      <c r="H439" s="622" t="s">
        <v>35</v>
      </c>
      <c r="I439" s="582">
        <f ca="1">IFERROR(__xludf.DUMMYFUNCTION("IMPORTRANGE(""https://docs.google.com/spreadsheets/d/1QqKyyYR6Q21VydFLVH3TRQUabQu_ym0Zz7PgGX0-kHA/edit?usp=sharing"",""แผน!FF87"")"),15)</f>
        <v>15</v>
      </c>
      <c r="J439" s="583">
        <v>15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7" t="s">
        <v>197</v>
      </c>
      <c r="E440" s="177"/>
      <c r="F440" s="177"/>
      <c r="G440" s="178"/>
      <c r="H440" s="622" t="s">
        <v>49</v>
      </c>
      <c r="I440" s="269">
        <f ca="1">IFERROR(__xludf.DUMMYFUNCTION("IMPORTRANGE(""https://docs.google.com/spreadsheets/d/1QqKyyYR6Q21VydFLVH3TRQUabQu_ym0Zz7PgGX0-kHA/edit?usp=sharing"",""แผน!FG87"")"),1)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7" t="s">
        <v>198</v>
      </c>
      <c r="E441" s="177"/>
      <c r="F441" s="177"/>
      <c r="G441" s="178"/>
      <c r="H441" s="622" t="s">
        <v>35</v>
      </c>
      <c r="I441" s="269">
        <f ca="1">IFERROR(__xludf.DUMMYFUNCTION("IMPORTRANGE(""https://docs.google.com/spreadsheets/d/1QqKyyYR6Q21VydFLVH3TRQUabQu_ym0Zz7PgGX0-kHA/edit?usp=sharing"",""แผน!FH87"")"),0)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84">
        <v>2</v>
      </c>
      <c r="B442" s="585" t="s">
        <v>199</v>
      </c>
      <c r="C442" s="586"/>
      <c r="D442" s="586"/>
      <c r="E442" s="586"/>
      <c r="F442" s="586"/>
      <c r="G442" s="587"/>
      <c r="H442" s="588" t="s">
        <v>35</v>
      </c>
      <c r="I442" s="589">
        <f ca="1">I460</f>
        <v>0</v>
      </c>
      <c r="J442" s="589">
        <f>J460</f>
        <v>0</v>
      </c>
      <c r="K442" s="590">
        <f t="shared" ca="1" si="7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ca="1">I462</f>
        <v>0</v>
      </c>
      <c r="J443" s="569">
        <f>J462</f>
        <v>0</v>
      </c>
      <c r="K443" s="570">
        <f t="shared" ca="1" si="7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887" t="s">
        <v>17</v>
      </c>
      <c r="E444" s="888"/>
      <c r="F444" s="888"/>
      <c r="G444" s="188"/>
      <c r="H444" s="597" t="s">
        <v>12</v>
      </c>
      <c r="I444" s="269"/>
      <c r="J444" s="269"/>
      <c r="K444" s="497"/>
      <c r="L444" s="194">
        <f ca="1">L445+L446</f>
        <v>0</v>
      </c>
      <c r="M444" s="194">
        <f>M445+M446</f>
        <v>0</v>
      </c>
      <c r="N444" s="194">
        <f>N445+N446</f>
        <v>0</v>
      </c>
      <c r="O444" s="194">
        <f t="shared" ref="O444:O449" ca="1" si="75">IF(L444&gt;0,N444*100/L444,0)</f>
        <v>0</v>
      </c>
      <c r="P444" s="194">
        <f t="shared" ref="P444:P449" si="76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184</v>
      </c>
      <c r="F445" s="758"/>
      <c r="G445" s="602"/>
      <c r="H445" s="164" t="s">
        <v>12</v>
      </c>
      <c r="I445" s="616"/>
      <c r="J445" s="616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185</v>
      </c>
      <c r="F446" s="758"/>
      <c r="G446" s="602"/>
      <c r="H446" s="164" t="s">
        <v>12</v>
      </c>
      <c r="I446" s="616"/>
      <c r="J446" s="616"/>
      <c r="K446" s="92"/>
      <c r="L446" s="92">
        <f t="shared" ca="1" si="77"/>
        <v>0</v>
      </c>
      <c r="M446" s="92">
        <f t="shared" si="77"/>
        <v>0</v>
      </c>
      <c r="N446" s="92">
        <f t="shared" si="77"/>
        <v>0</v>
      </c>
      <c r="O446" s="92">
        <f t="shared" ca="1" si="75"/>
        <v>0</v>
      </c>
      <c r="P446" s="92">
        <f t="shared" si="76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8"/>
      <c r="H447" s="160" t="s">
        <v>12</v>
      </c>
      <c r="I447" s="183"/>
      <c r="J447" s="183"/>
      <c r="K447" s="162"/>
      <c r="L447" s="497">
        <f ca="1">L448+L449</f>
        <v>0</v>
      </c>
      <c r="M447" s="497">
        <f>M448+M449</f>
        <v>0</v>
      </c>
      <c r="N447" s="497">
        <f>N448+N449</f>
        <v>0</v>
      </c>
      <c r="O447" s="497">
        <f t="shared" ca="1" si="75"/>
        <v>0</v>
      </c>
      <c r="P447" s="497">
        <f t="shared" si="76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184</v>
      </c>
      <c r="F448" s="758"/>
      <c r="G448" s="602"/>
      <c r="H448" s="164" t="s">
        <v>12</v>
      </c>
      <c r="I448" s="616"/>
      <c r="J448" s="616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185</v>
      </c>
      <c r="F449" s="758"/>
      <c r="G449" s="602"/>
      <c r="H449" s="164" t="s">
        <v>12</v>
      </c>
      <c r="I449" s="616"/>
      <c r="J449" s="616"/>
      <c r="K449" s="92"/>
      <c r="L449" s="92">
        <f ca="1">IFERROR(__xludf.DUMMYFUNCTION("IMPORTRANGE(""https://docs.google.com/spreadsheets/d/1QqKyyYR6Q21VydFLVH3TRQUabQu_ym0Zz7PgGX0-kHA/edit?usp=sharing"",""แผน!FJ87"")"),0)</f>
        <v>0</v>
      </c>
      <c r="M449" s="92">
        <v>0</v>
      </c>
      <c r="N449" s="92">
        <f>N450+N451+N452+N453</f>
        <v>0</v>
      </c>
      <c r="O449" s="92">
        <f t="shared" ca="1" si="75"/>
        <v>0</v>
      </c>
      <c r="P449" s="92">
        <f t="shared" si="76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826">
        <v>0</v>
      </c>
      <c r="O450" s="497"/>
      <c r="P450" s="497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826">
        <v>0</v>
      </c>
      <c r="O451" s="497"/>
      <c r="P451" s="497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826">
        <v>0</v>
      </c>
      <c r="O452" s="497"/>
      <c r="P452" s="497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826">
        <v>0</v>
      </c>
      <c r="O453" s="497"/>
      <c r="P453" s="497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IFERROR(__xludf.DUMMYFUNCTION("IMPORTRANGE(""https://docs.google.com/spreadsheets/d/1QqKyyYR6Q21VydFLVH3TRQUabQu_ym0Zz7PgGX0-kHA/edit?usp=sharing"",""แผน!FM87"")"),0)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40" t="s">
        <v>38</v>
      </c>
      <c r="E457" s="610"/>
      <c r="F457" s="760"/>
      <c r="G457" s="612"/>
      <c r="H457" s="761"/>
      <c r="I457" s="269"/>
      <c r="J457" s="269"/>
      <c r="K457" s="497"/>
      <c r="L457" s="497"/>
      <c r="M457" s="497"/>
      <c r="N457" s="497"/>
      <c r="O457" s="497"/>
      <c r="P457" s="497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200</v>
      </c>
      <c r="E458" s="615"/>
      <c r="F458" s="719"/>
      <c r="G458" s="365"/>
      <c r="H458" s="369" t="s">
        <v>35</v>
      </c>
      <c r="I458" s="616">
        <v>0</v>
      </c>
      <c r="J458" s="616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201</v>
      </c>
      <c r="E459" s="615"/>
      <c r="F459" s="719"/>
      <c r="G459" s="365"/>
      <c r="H459" s="369"/>
      <c r="I459" s="616"/>
      <c r="J459" s="616"/>
      <c r="K459" s="92"/>
      <c r="L459" s="92"/>
      <c r="M459" s="92"/>
      <c r="N459" s="92"/>
      <c r="O459" s="92"/>
      <c r="P459" s="92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202</v>
      </c>
      <c r="E460" s="617"/>
      <c r="F460" s="625"/>
      <c r="G460" s="761"/>
      <c r="H460" s="763" t="s">
        <v>35</v>
      </c>
      <c r="I460" s="269">
        <f ca="1">IFERROR(__xludf.DUMMYFUNCTION("IMPORTRANGE(""https://docs.google.com/spreadsheets/d/1QqKyyYR6Q21VydFLVH3TRQUabQu_ym0Zz7PgGX0-kHA/edit?usp=sharing"",""แผน!FN87"")"),0)</f>
        <v>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203</v>
      </c>
      <c r="E461" s="625"/>
      <c r="F461" s="625"/>
      <c r="G461" s="761"/>
      <c r="H461" s="763"/>
      <c r="I461" s="269"/>
      <c r="J461" s="269"/>
      <c r="K461" s="497"/>
      <c r="L461" s="497"/>
      <c r="M461" s="497"/>
      <c r="N461" s="497"/>
      <c r="O461" s="497"/>
      <c r="P461" s="497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204</v>
      </c>
      <c r="E462" s="625"/>
      <c r="F462" s="625"/>
      <c r="G462" s="761"/>
      <c r="H462" s="763" t="s">
        <v>46</v>
      </c>
      <c r="I462" s="269">
        <f ca="1">IFERROR(__xludf.DUMMYFUNCTION("IMPORTRANGE(""https://docs.google.com/spreadsheets/d/1QqKyyYR6Q21VydFLVH3TRQUabQu_ym0Zz7PgGX0-kHA/edit?usp=sharing"",""แผน!FO87"")"),0)</f>
        <v>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8"/>
      <c r="H463" s="763" t="s">
        <v>46</v>
      </c>
      <c r="I463" s="269">
        <f ca="1">IFERROR(__xludf.DUMMYFUNCTION("IMPORTRANGE(""https://docs.google.com/spreadsheets/d/1QqKyyYR6Q21VydFLVH3TRQUabQu_ym0Zz7PgGX0-kHA/edit?usp=sharing"",""แผน!FO87"")"),0)</f>
        <v>0</v>
      </c>
      <c r="J463" s="214">
        <v>0</v>
      </c>
      <c r="K463" s="497"/>
      <c r="L463" s="497"/>
      <c r="M463" s="497"/>
      <c r="N463" s="497"/>
      <c r="O463" s="497"/>
      <c r="P463" s="497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69">
        <f ca="1">IFERROR(__xludf.DUMMYFUNCTION("IMPORTRANGE(""https://docs.google.com/spreadsheets/d/1QqKyyYR6Q21VydFLVH3TRQUabQu_ym0Zz7PgGX0-kHA/edit?usp=sharing"",""แผน!FN87"")"),0)</f>
        <v>0</v>
      </c>
      <c r="J464" s="214">
        <v>0</v>
      </c>
      <c r="K464" s="497"/>
      <c r="L464" s="497"/>
      <c r="M464" s="497"/>
      <c r="N464" s="497"/>
      <c r="O464" s="497"/>
      <c r="P464" s="497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205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IFERROR(__xludf.DUMMYFUNCTION("IMPORTRANGE(""https://docs.google.com/spreadsheets/d/1QqKyyYR6Q21VydFLVH3TRQUabQu_ym0Zz7PgGX0-kHA/edit?usp=sharing"",""แผน!FX87"")"),11)</f>
        <v>11</v>
      </c>
      <c r="J465" s="589">
        <f>J485+J489+J492</f>
        <v>17</v>
      </c>
      <c r="K465" s="590">
        <f ca="1">IF(I465&gt;0,J465*100/I465,0)</f>
        <v>154.54545454545453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IFERROR(__xludf.DUMMYFUNCTION("IMPORTRANGE(""https://docs.google.com/spreadsheets/d/1QqKyyYR6Q21VydFLVH3TRQUabQu_ym0Zz7PgGX0-kHA/edit?usp=sharing"",""แผน!FW87"")"),100)</f>
        <v>100</v>
      </c>
      <c r="J466" s="569">
        <f>J495+J498</f>
        <v>100</v>
      </c>
      <c r="K466" s="570">
        <f ca="1">IF(I466&gt;0,J466*100/I466,0)</f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87" t="s">
        <v>17</v>
      </c>
      <c r="E467" s="888"/>
      <c r="F467" s="888"/>
      <c r="G467" s="188"/>
      <c r="H467" s="597" t="s">
        <v>12</v>
      </c>
      <c r="I467" s="269"/>
      <c r="J467" s="269"/>
      <c r="K467" s="497"/>
      <c r="L467" s="194">
        <f ca="1">L468+L469</f>
        <v>98283</v>
      </c>
      <c r="M467" s="194">
        <f ca="1">M468+M469</f>
        <v>113833</v>
      </c>
      <c r="N467" s="194">
        <f>N468+N469</f>
        <v>113833</v>
      </c>
      <c r="O467" s="194">
        <f t="shared" ref="O467:O472" ca="1" si="78">IF(L467&gt;0,N467*100/L467,0)</f>
        <v>115.82165786555151</v>
      </c>
      <c r="P467" s="194">
        <f t="shared" ref="P467:P472" ca="1" si="79">IF(M467&gt;0,N467*100/M467,0)</f>
        <v>100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184</v>
      </c>
      <c r="F468" s="758"/>
      <c r="G468" s="602"/>
      <c r="H468" s="164" t="s">
        <v>12</v>
      </c>
      <c r="I468" s="616"/>
      <c r="J468" s="616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185</v>
      </c>
      <c r="F469" s="758"/>
      <c r="G469" s="602"/>
      <c r="H469" s="164" t="s">
        <v>12</v>
      </c>
      <c r="I469" s="616"/>
      <c r="J469" s="616"/>
      <c r="K469" s="92"/>
      <c r="L469" s="92">
        <f t="shared" ca="1" si="80"/>
        <v>98283</v>
      </c>
      <c r="M469" s="92">
        <f t="shared" ca="1" si="80"/>
        <v>113833</v>
      </c>
      <c r="N469" s="92">
        <f t="shared" si="80"/>
        <v>113833</v>
      </c>
      <c r="O469" s="92">
        <f t="shared" ca="1" si="78"/>
        <v>115.82165786555151</v>
      </c>
      <c r="P469" s="92">
        <f t="shared" ca="1" si="79"/>
        <v>100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8"/>
      <c r="H470" s="160" t="s">
        <v>12</v>
      </c>
      <c r="I470" s="183"/>
      <c r="J470" s="183"/>
      <c r="K470" s="162"/>
      <c r="L470" s="497">
        <f ca="1">L471+L472</f>
        <v>98283</v>
      </c>
      <c r="M470" s="497">
        <f ca="1">M471+M472</f>
        <v>113833</v>
      </c>
      <c r="N470" s="497">
        <f>N471+N472</f>
        <v>113833</v>
      </c>
      <c r="O470" s="497">
        <f t="shared" ca="1" si="78"/>
        <v>115.82165786555151</v>
      </c>
      <c r="P470" s="497">
        <f t="shared" ca="1" si="79"/>
        <v>100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184</v>
      </c>
      <c r="F471" s="758"/>
      <c r="G471" s="602"/>
      <c r="H471" s="164" t="s">
        <v>12</v>
      </c>
      <c r="I471" s="616"/>
      <c r="J471" s="616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185</v>
      </c>
      <c r="F472" s="758"/>
      <c r="G472" s="602"/>
      <c r="H472" s="164" t="s">
        <v>12</v>
      </c>
      <c r="I472" s="616"/>
      <c r="J472" s="616"/>
      <c r="K472" s="92"/>
      <c r="L472" s="92">
        <f ca="1">IFERROR(__xludf.DUMMYFUNCTION("IMPORTRANGE(""https://docs.google.com/spreadsheets/d/1QqKyyYR6Q21VydFLVH3TRQUabQu_ym0Zz7PgGX0-kHA/edit?usp=sharing"",""แผน!FS87"")"),98283)</f>
        <v>98283</v>
      </c>
      <c r="M472" s="92">
        <f ca="1">L472+15550</f>
        <v>113833</v>
      </c>
      <c r="N472" s="92">
        <f>N473+N474+N475+N476</f>
        <v>113833</v>
      </c>
      <c r="O472" s="92">
        <f t="shared" ca="1" si="78"/>
        <v>115.82165786555151</v>
      </c>
      <c r="P472" s="92">
        <f t="shared" ca="1" si="79"/>
        <v>100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826">
        <f>13053+1000</f>
        <v>14053</v>
      </c>
      <c r="O473" s="497"/>
      <c r="P473" s="497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826">
        <v>66000</v>
      </c>
      <c r="O474" s="497"/>
      <c r="P474" s="497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826">
        <v>0</v>
      </c>
      <c r="O475" s="497"/>
      <c r="P475" s="497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826">
        <f>107553-(13053+66000)+600+1480+1400+1800</f>
        <v>33780</v>
      </c>
      <c r="O476" s="497"/>
      <c r="P476" s="497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IFERROR(__xludf.DUMMYFUNCTION("IMPORTRANGE(""https://docs.google.com/spreadsheets/d/1QqKyyYR6Q21VydFLVH3TRQUabQu_ym0Zz7PgGX0-kHA/edit?usp=sharing"",""แผน!FV87"")"),0)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43" t="s">
        <v>38</v>
      </c>
      <c r="E480" s="610"/>
      <c r="F480" s="760"/>
      <c r="G480" s="612"/>
      <c r="H480" s="761"/>
      <c r="I480" s="269"/>
      <c r="J480" s="269"/>
      <c r="K480" s="497"/>
      <c r="L480" s="497"/>
      <c r="M480" s="497"/>
      <c r="N480" s="497"/>
      <c r="O480" s="497"/>
      <c r="P480" s="497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206</v>
      </c>
      <c r="E481" s="617"/>
      <c r="F481" s="617"/>
      <c r="G481" s="761"/>
      <c r="H481" s="188"/>
      <c r="I481" s="269"/>
      <c r="J481" s="269"/>
      <c r="K481" s="497"/>
      <c r="L481" s="497"/>
      <c r="M481" s="497"/>
      <c r="N481" s="497"/>
      <c r="O481" s="497"/>
      <c r="P481" s="497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207</v>
      </c>
      <c r="F482" s="617"/>
      <c r="G482" s="761"/>
      <c r="H482" s="188"/>
      <c r="I482" s="269"/>
      <c r="J482" s="269"/>
      <c r="K482" s="497"/>
      <c r="L482" s="497"/>
      <c r="M482" s="497"/>
      <c r="N482" s="497"/>
      <c r="O482" s="497"/>
      <c r="P482" s="497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208</v>
      </c>
      <c r="G483" s="761"/>
      <c r="H483" s="622" t="s">
        <v>46</v>
      </c>
      <c r="I483" s="269">
        <f ca="1">IFERROR(__xludf.DUMMYFUNCTION("IMPORTRANGE(""https://docs.google.com/spreadsheets/d/1QqKyyYR6Q21VydFLVH3TRQUabQu_ym0Zz7PgGX0-kHA/edit?usp=sharing"",""แผน!FY87"")"),90)</f>
        <v>90</v>
      </c>
      <c r="J483" s="214">
        <v>90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209</v>
      </c>
      <c r="G484" s="761"/>
      <c r="H484" s="622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210</v>
      </c>
      <c r="G485" s="761"/>
      <c r="H485" s="622" t="s">
        <v>35</v>
      </c>
      <c r="I485" s="269">
        <f ca="1">IFERROR(__xludf.DUMMYFUNCTION("IMPORTRANGE(""https://docs.google.com/spreadsheets/d/1QqKyyYR6Q21VydFLVH3TRQUabQu_ym0Zz7PgGX0-kHA/edit?usp=sharing"",""แผน!FZ87"")"),9)</f>
        <v>9</v>
      </c>
      <c r="J485" s="214">
        <v>14</v>
      </c>
      <c r="K485" s="497">
        <f ca="1">IF(I485&gt;0,J485*100/I485,0)</f>
        <v>155.55555555555554</v>
      </c>
      <c r="L485" s="497"/>
      <c r="M485" s="497"/>
      <c r="N485" s="497"/>
      <c r="O485" s="497"/>
      <c r="P485" s="497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69"/>
      <c r="J486" s="269"/>
      <c r="K486" s="497"/>
      <c r="L486" s="497"/>
      <c r="M486" s="497"/>
      <c r="N486" s="497"/>
      <c r="O486" s="497"/>
      <c r="P486" s="497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208</v>
      </c>
      <c r="G487" s="761"/>
      <c r="H487" s="622" t="s">
        <v>46</v>
      </c>
      <c r="I487" s="269">
        <f ca="1">IFERROR(__xludf.DUMMYFUNCTION("IMPORTRANGE(""https://docs.google.com/spreadsheets/d/1QqKyyYR6Q21VydFLVH3TRQUabQu_ym0Zz7PgGX0-kHA/edit?usp=sharing"",""แผน!GA87"")"),10)</f>
        <v>10</v>
      </c>
      <c r="J487" s="214">
        <v>10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211</v>
      </c>
      <c r="G488" s="761"/>
      <c r="H488" s="622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212</v>
      </c>
      <c r="G489" s="761"/>
      <c r="H489" s="622" t="s">
        <v>35</v>
      </c>
      <c r="I489" s="269">
        <f ca="1">IFERROR(__xludf.DUMMYFUNCTION("IMPORTRANGE(""https://docs.google.com/spreadsheets/d/1QqKyyYR6Q21VydFLVH3TRQUabQu_ym0Zz7PgGX0-kHA/edit?usp=sharing"",""แผน!GB87"")"),1)</f>
        <v>1</v>
      </c>
      <c r="J489" s="214">
        <v>2</v>
      </c>
      <c r="K489" s="497">
        <f ca="1">IF(I489&gt;0,J489*100/I489,0)</f>
        <v>200</v>
      </c>
      <c r="L489" s="497"/>
      <c r="M489" s="497"/>
      <c r="N489" s="497"/>
      <c r="O489" s="497"/>
      <c r="P489" s="497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69"/>
      <c r="J490" s="269"/>
      <c r="K490" s="497"/>
      <c r="L490" s="497"/>
      <c r="M490" s="497"/>
      <c r="N490" s="497"/>
      <c r="O490" s="497"/>
      <c r="P490" s="497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213</v>
      </c>
      <c r="G491" s="761"/>
      <c r="H491" s="622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214</v>
      </c>
      <c r="G492" s="761"/>
      <c r="H492" s="622" t="s">
        <v>35</v>
      </c>
      <c r="I492" s="269">
        <f ca="1">IFERROR(__xludf.DUMMYFUNCTION("IMPORTRANGE(""https://docs.google.com/spreadsheets/d/1QqKyyYR6Q21VydFLVH3TRQUabQu_ym0Zz7PgGX0-kHA/edit?usp=sharing"",""แผน!GC87"")"),1)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8"/>
      <c r="I493" s="269"/>
      <c r="J493" s="269"/>
      <c r="K493" s="497"/>
      <c r="L493" s="497"/>
      <c r="M493" s="497"/>
      <c r="N493" s="497"/>
      <c r="O493" s="497"/>
      <c r="P493" s="497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207</v>
      </c>
      <c r="F494" s="625"/>
      <c r="G494" s="761"/>
      <c r="H494" s="188"/>
      <c r="I494" s="269"/>
      <c r="J494" s="269"/>
      <c r="K494" s="497"/>
      <c r="L494" s="497"/>
      <c r="M494" s="497"/>
      <c r="N494" s="497"/>
      <c r="O494" s="497"/>
      <c r="P494" s="497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215</v>
      </c>
      <c r="G495" s="761"/>
      <c r="H495" s="622" t="s">
        <v>46</v>
      </c>
      <c r="I495" s="269">
        <f ca="1">IFERROR(__xludf.DUMMYFUNCTION("IMPORTRANGE(""https://docs.google.com/spreadsheets/d/1QqKyyYR6Q21VydFLVH3TRQUabQu_ym0Zz7PgGX0-kHA/edit?usp=sharing"",""แผน!FY87"")"),90)</f>
        <v>90</v>
      </c>
      <c r="J495" s="214">
        <v>90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216</v>
      </c>
      <c r="G496" s="761"/>
      <c r="H496" s="622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8"/>
      <c r="I497" s="269"/>
      <c r="J497" s="269"/>
      <c r="K497" s="497"/>
      <c r="L497" s="497"/>
      <c r="M497" s="497"/>
      <c r="N497" s="497"/>
      <c r="O497" s="497"/>
      <c r="P497" s="497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217</v>
      </c>
      <c r="G498" s="761"/>
      <c r="H498" s="622" t="s">
        <v>46</v>
      </c>
      <c r="I498" s="269">
        <f ca="1">IFERROR(__xludf.DUMMYFUNCTION("IMPORTRANGE(""https://docs.google.com/spreadsheets/d/1QqKyyYR6Q21VydFLVH3TRQUabQu_ym0Zz7PgGX0-kHA/edit?usp=sharing"",""แผน!GA87"")"),10)</f>
        <v>10</v>
      </c>
      <c r="J498" s="214">
        <v>10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218</v>
      </c>
      <c r="G499" s="761"/>
      <c r="H499" s="622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219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>J516</f>
        <v>0</v>
      </c>
      <c r="K500" s="633">
        <f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220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>J517</f>
        <v>0</v>
      </c>
      <c r="K501" s="642">
        <f>IF(I501&gt;0,J501*100/I501,0)</f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92" t="s">
        <v>17</v>
      </c>
      <c r="E502" s="888"/>
      <c r="F502" s="888"/>
      <c r="G502" s="602"/>
      <c r="H502" s="645" t="s">
        <v>12</v>
      </c>
      <c r="I502" s="616"/>
      <c r="J502" s="616"/>
      <c r="K502" s="92"/>
      <c r="L502" s="646">
        <f>L503+L504</f>
        <v>0</v>
      </c>
      <c r="M502" s="646">
        <f>M503+M504</f>
        <v>0</v>
      </c>
      <c r="N502" s="646">
        <f>N503+N504</f>
        <v>0</v>
      </c>
      <c r="O502" s="646">
        <f t="shared" ref="O502:O507" si="81">IF(L502&gt;0,N502*100/L502,0)</f>
        <v>0</v>
      </c>
      <c r="P502" s="646">
        <f t="shared" ref="P502:P507" si="82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184</v>
      </c>
      <c r="F503" s="758"/>
      <c r="G503" s="602"/>
      <c r="H503" s="164" t="s">
        <v>12</v>
      </c>
      <c r="I503" s="616"/>
      <c r="J503" s="616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185</v>
      </c>
      <c r="F504" s="758"/>
      <c r="G504" s="602"/>
      <c r="H504" s="164" t="s">
        <v>12</v>
      </c>
      <c r="I504" s="616"/>
      <c r="J504" s="616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184</v>
      </c>
      <c r="F506" s="758"/>
      <c r="G506" s="602"/>
      <c r="H506" s="164" t="s">
        <v>12</v>
      </c>
      <c r="I506" s="616"/>
      <c r="J506" s="616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185</v>
      </c>
      <c r="F507" s="758"/>
      <c r="G507" s="602"/>
      <c r="H507" s="164" t="s">
        <v>12</v>
      </c>
      <c r="I507" s="616"/>
      <c r="J507" s="616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186</v>
      </c>
      <c r="G508" s="602"/>
      <c r="H508" s="164" t="s">
        <v>12</v>
      </c>
      <c r="I508" s="616"/>
      <c r="J508" s="616"/>
      <c r="K508" s="92"/>
      <c r="L508" s="92"/>
      <c r="M508" s="92"/>
      <c r="N508" s="92">
        <v>0</v>
      </c>
      <c r="O508" s="92"/>
      <c r="P508" s="92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187</v>
      </c>
      <c r="G509" s="602"/>
      <c r="H509" s="164" t="s">
        <v>12</v>
      </c>
      <c r="I509" s="616"/>
      <c r="J509" s="616"/>
      <c r="K509" s="92"/>
      <c r="L509" s="92"/>
      <c r="M509" s="92"/>
      <c r="N509" s="92">
        <v>0</v>
      </c>
      <c r="O509" s="92"/>
      <c r="P509" s="92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188</v>
      </c>
      <c r="G510" s="602"/>
      <c r="H510" s="164" t="s">
        <v>12</v>
      </c>
      <c r="I510" s="616"/>
      <c r="J510" s="616"/>
      <c r="K510" s="92"/>
      <c r="L510" s="92"/>
      <c r="M510" s="92"/>
      <c r="N510" s="92">
        <v>0</v>
      </c>
      <c r="O510" s="92"/>
      <c r="P510" s="92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189</v>
      </c>
      <c r="G511" s="602"/>
      <c r="H511" s="164" t="s">
        <v>12</v>
      </c>
      <c r="I511" s="616"/>
      <c r="J511" s="616"/>
      <c r="K511" s="92"/>
      <c r="L511" s="92"/>
      <c r="M511" s="92"/>
      <c r="N511" s="92">
        <v>0</v>
      </c>
      <c r="O511" s="92"/>
      <c r="P511" s="92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42" t="s">
        <v>38</v>
      </c>
      <c r="E515" s="650"/>
      <c r="F515" s="650"/>
      <c r="G515" s="651"/>
      <c r="H515" s="365"/>
      <c r="I515" s="165"/>
      <c r="J515" s="165"/>
      <c r="K515" s="166"/>
      <c r="L515" s="166"/>
      <c r="M515" s="166"/>
      <c r="N515" s="166"/>
      <c r="O515" s="166"/>
      <c r="P515" s="166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221</v>
      </c>
      <c r="E516" s="719"/>
      <c r="F516" s="719"/>
      <c r="G516" s="365"/>
      <c r="H516" s="652" t="s">
        <v>109</v>
      </c>
      <c r="I516" s="616"/>
      <c r="J516" s="616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222</v>
      </c>
      <c r="E517" s="719"/>
      <c r="F517" s="719"/>
      <c r="G517" s="365"/>
      <c r="H517" s="653" t="s">
        <v>35</v>
      </c>
      <c r="I517" s="654"/>
      <c r="J517" s="654">
        <f>J518+J519</f>
        <v>0</v>
      </c>
      <c r="K517" s="655">
        <f>IF(I517&gt;0,J517*100/I517,0)</f>
        <v>0</v>
      </c>
      <c r="L517" s="166"/>
      <c r="M517" s="166"/>
      <c r="N517" s="166"/>
      <c r="O517" s="166"/>
      <c r="P517" s="166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223</v>
      </c>
      <c r="F518" s="719"/>
      <c r="G518" s="365"/>
      <c r="H518" s="369" t="s">
        <v>35</v>
      </c>
      <c r="I518" s="616"/>
      <c r="J518" s="616"/>
      <c r="K518" s="166"/>
      <c r="L518" s="166"/>
      <c r="M518" s="166"/>
      <c r="N518" s="166"/>
      <c r="O518" s="166"/>
      <c r="P518" s="166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224</v>
      </c>
      <c r="F519" s="719"/>
      <c r="G519" s="365"/>
      <c r="H519" s="652" t="s">
        <v>35</v>
      </c>
      <c r="I519" s="616"/>
      <c r="J519" s="616"/>
      <c r="K519" s="166"/>
      <c r="L519" s="166"/>
      <c r="M519" s="166"/>
      <c r="N519" s="166"/>
      <c r="O519" s="166"/>
      <c r="P519" s="166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225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226</v>
      </c>
      <c r="C522" s="672"/>
      <c r="D522" s="672"/>
      <c r="E522" s="672"/>
      <c r="F522" s="672"/>
      <c r="G522" s="673"/>
      <c r="H522" s="674" t="s">
        <v>35</v>
      </c>
      <c r="I522" s="707">
        <f ca="1">I537</f>
        <v>0</v>
      </c>
      <c r="J522" s="707">
        <f ca="1">J537</f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87" t="s">
        <v>17</v>
      </c>
      <c r="E523" s="888"/>
      <c r="F523" s="888"/>
      <c r="G523" s="188"/>
      <c r="H523" s="597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184</v>
      </c>
      <c r="F524" s="758"/>
      <c r="G524" s="602"/>
      <c r="H524" s="164" t="s">
        <v>12</v>
      </c>
      <c r="I524" s="616"/>
      <c r="J524" s="616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185</v>
      </c>
      <c r="F525" s="758"/>
      <c r="G525" s="602"/>
      <c r="H525" s="164" t="s">
        <v>12</v>
      </c>
      <c r="I525" s="616"/>
      <c r="J525" s="616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184</v>
      </c>
      <c r="F527" s="758"/>
      <c r="G527" s="602"/>
      <c r="H527" s="164" t="s">
        <v>12</v>
      </c>
      <c r="I527" s="616"/>
      <c r="J527" s="616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185</v>
      </c>
      <c r="F528" s="758"/>
      <c r="G528" s="602"/>
      <c r="H528" s="164" t="s">
        <v>12</v>
      </c>
      <c r="I528" s="616"/>
      <c r="J528" s="616"/>
      <c r="K528" s="92"/>
      <c r="L528" s="92">
        <f ca="1">IFERROR(__xludf.DUMMYFUNCTION("IMPORTRANGE(""https://docs.google.com/spreadsheets/d/1QqKyyYR6Q21VydFLVH3TRQUabQu_ym0Zz7PgGX0-kHA/edit?usp=sharing"",""แผน!GQ87"")"),0)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826">
        <v>0</v>
      </c>
      <c r="O529" s="497"/>
      <c r="P529" s="497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826">
        <v>0</v>
      </c>
      <c r="O530" s="497"/>
      <c r="P530" s="497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826">
        <v>0</v>
      </c>
      <c r="O531" s="497"/>
      <c r="P531" s="497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826">
        <v>0</v>
      </c>
      <c r="O532" s="497"/>
      <c r="P532" s="497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IFERROR(__xludf.DUMMYFUNCTION("IMPORTRANGE(""https://docs.google.com/spreadsheets/d/1QqKyyYR6Q21VydFLVH3TRQUabQu_ym0Zz7PgGX0-kHA/edit?usp=sharing"",""แผน!GT87"")"),0)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41" t="s">
        <v>38</v>
      </c>
      <c r="E536" s="760"/>
      <c r="F536" s="760"/>
      <c r="G536" s="612"/>
      <c r="H536" s="761"/>
      <c r="I536" s="183"/>
      <c r="J536" s="183"/>
      <c r="K536" s="162"/>
      <c r="L536" s="162"/>
      <c r="M536" s="162"/>
      <c r="N536" s="162"/>
      <c r="O536" s="162"/>
      <c r="P536" s="162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227</v>
      </c>
      <c r="E537" s="762"/>
      <c r="F537" s="762"/>
      <c r="G537" s="188"/>
      <c r="H537" s="622" t="s">
        <v>35</v>
      </c>
      <c r="I537" s="680">
        <f ca="1">IFERROR(__xludf.DUMMYFUNCTION("IMPORTRANGE(""https://docs.google.com/spreadsheets/d/1QqKyyYR6Q21VydFLVH3TRQUabQu_ym0Zz7PgGX0-kHA/edit?usp=sharing"",""แผน!GU87"")"),0)</f>
        <v>0</v>
      </c>
      <c r="J537" s="680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228</v>
      </c>
      <c r="F538" s="762"/>
      <c r="G538" s="188"/>
      <c r="H538" s="622" t="s">
        <v>35</v>
      </c>
      <c r="I538" s="269">
        <f ca="1">IFERROR(__xludf.DUMMYFUNCTION("IMPORTRANGE(""https://docs.google.com/spreadsheets/d/1QqKyyYR6Q21VydFLVH3TRQUabQu_ym0Zz7PgGX0-kHA/edit?usp=sharing"",""แผน!GV87"")"),0)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229</v>
      </c>
      <c r="F539" s="762"/>
      <c r="G539" s="188"/>
      <c r="H539" s="622" t="s">
        <v>35</v>
      </c>
      <c r="I539" s="269">
        <f ca="1">IFERROR(__xludf.DUMMYFUNCTION("IMPORTRANGE(""https://docs.google.com/spreadsheets/d/1QqKyyYR6Q21VydFLVH3TRQUabQu_ym0Zz7PgGX0-kHA/edit?usp=sharing"",""แผน!GW87"")"),0)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230</v>
      </c>
      <c r="F540" s="762"/>
      <c r="G540" s="188"/>
      <c r="H540" s="622" t="s">
        <v>35</v>
      </c>
      <c r="I540" s="269">
        <f ca="1">IFERROR(__xludf.DUMMYFUNCTION("IMPORTRANGE(""https://docs.google.com/spreadsheets/d/1QqKyyYR6Q21VydFLVH3TRQUabQu_ym0Zz7PgGX0-kHA/edit?usp=sharing"",""แผน!GX87"")"),0)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231</v>
      </c>
      <c r="F541" s="762"/>
      <c r="G541" s="188"/>
      <c r="H541" s="622" t="s">
        <v>35</v>
      </c>
      <c r="I541" s="269">
        <f ca="1">IFERROR(__xludf.DUMMYFUNCTION("IMPORTRANGE(""https://docs.google.com/spreadsheets/d/1QqKyyYR6Q21VydFLVH3TRQUabQu_ym0Zz7PgGX0-kHA/edit?usp=sharing"",""แผน!GY87"")"),0)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8"/>
      <c r="H542" s="622" t="s">
        <v>35</v>
      </c>
      <c r="I542" s="269">
        <f ca="1">IFERROR(__xludf.DUMMYFUNCTION("IMPORTRANGE(""https://docs.google.com/spreadsheets/d/1QqKyyYR6Q21VydFLVH3TRQUabQu_ym0Zz7PgGX0-kHA/edit?usp=sharing"",""แผน!GZ87"")"),0)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232</v>
      </c>
      <c r="C543" s="666"/>
      <c r="D543" s="666"/>
      <c r="E543" s="666"/>
      <c r="F543" s="666"/>
      <c r="G543" s="667"/>
      <c r="H543" s="685" t="s">
        <v>46</v>
      </c>
      <c r="I543" s="686">
        <f ca="1">I559</f>
        <v>10513.862499999999</v>
      </c>
      <c r="J543" s="686">
        <f>J559</f>
        <v>10513.862499999999</v>
      </c>
      <c r="K543" s="687">
        <f t="shared" ca="1" si="87"/>
        <v>100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911" t="s">
        <v>17</v>
      </c>
      <c r="E544" s="890"/>
      <c r="F544" s="890"/>
      <c r="G544" s="690"/>
      <c r="H544" s="274" t="s">
        <v>12</v>
      </c>
      <c r="I544" s="420"/>
      <c r="J544" s="420"/>
      <c r="K544" s="153"/>
      <c r="L544" s="154">
        <f ca="1">L545+L546</f>
        <v>266693</v>
      </c>
      <c r="M544" s="154">
        <f ca="1">M545+M546</f>
        <v>264119</v>
      </c>
      <c r="N544" s="154">
        <f>N545+N546</f>
        <v>264119</v>
      </c>
      <c r="O544" s="154">
        <f t="shared" ref="O544:O549" ca="1" si="88">IF(L544&gt;0,N544*100/L544,0)</f>
        <v>99.034845309025741</v>
      </c>
      <c r="P544" s="154">
        <f t="shared" ref="P544:P549" ca="1" si="89">IF(M544&gt;0,N544*100/M544,0)</f>
        <v>100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184</v>
      </c>
      <c r="F545" s="758"/>
      <c r="G545" s="602"/>
      <c r="H545" s="164" t="s">
        <v>12</v>
      </c>
      <c r="I545" s="616"/>
      <c r="J545" s="616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185</v>
      </c>
      <c r="F546" s="758"/>
      <c r="G546" s="602"/>
      <c r="H546" s="164" t="s">
        <v>12</v>
      </c>
      <c r="I546" s="616"/>
      <c r="J546" s="616"/>
      <c r="K546" s="92"/>
      <c r="L546" s="92">
        <f ca="1">L549+L557</f>
        <v>266693</v>
      </c>
      <c r="M546" s="92">
        <f ca="1">M549+M556</f>
        <v>264119</v>
      </c>
      <c r="N546" s="92">
        <f>N549+N556</f>
        <v>264119</v>
      </c>
      <c r="O546" s="92">
        <f t="shared" ca="1" si="88"/>
        <v>99.034845309025741</v>
      </c>
      <c r="P546" s="92">
        <f t="shared" ca="1" si="89"/>
        <v>100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8"/>
      <c r="H547" s="160" t="s">
        <v>12</v>
      </c>
      <c r="I547" s="183"/>
      <c r="J547" s="183"/>
      <c r="K547" s="162"/>
      <c r="L547" s="497">
        <f ca="1">L548+L549</f>
        <v>266693</v>
      </c>
      <c r="M547" s="497">
        <f ca="1">M548+M549</f>
        <v>264119</v>
      </c>
      <c r="N547" s="497">
        <f>N548+N549</f>
        <v>264119</v>
      </c>
      <c r="O547" s="497">
        <f t="shared" ca="1" si="88"/>
        <v>99.034845309025741</v>
      </c>
      <c r="P547" s="497">
        <f t="shared" ca="1" si="89"/>
        <v>100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184</v>
      </c>
      <c r="F548" s="758"/>
      <c r="G548" s="602"/>
      <c r="H548" s="164" t="s">
        <v>12</v>
      </c>
      <c r="I548" s="616"/>
      <c r="J548" s="616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185</v>
      </c>
      <c r="F549" s="758"/>
      <c r="G549" s="602"/>
      <c r="H549" s="164" t="s">
        <v>12</v>
      </c>
      <c r="I549" s="616"/>
      <c r="J549" s="616"/>
      <c r="K549" s="92"/>
      <c r="L549" s="92">
        <f ca="1">IFERROR(__xludf.DUMMYFUNCTION("IMPORTRANGE(""https://docs.google.com/spreadsheets/d/1QqKyyYR6Q21VydFLVH3TRQUabQu_ym0Zz7PgGX0-kHA/edit?usp=sharing"",""แผน!HB87"")"),266693)</f>
        <v>266693</v>
      </c>
      <c r="M549" s="92">
        <f ca="1">L549-2574</f>
        <v>264119</v>
      </c>
      <c r="N549" s="92">
        <f>N550+N551+N552+N553+N554</f>
        <v>264119</v>
      </c>
      <c r="O549" s="92">
        <f t="shared" ca="1" si="88"/>
        <v>99.034845309025741</v>
      </c>
      <c r="P549" s="92">
        <f t="shared" ca="1" si="89"/>
        <v>100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826">
        <v>0</v>
      </c>
      <c r="O550" s="497"/>
      <c r="P550" s="497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826">
        <v>0</v>
      </c>
      <c r="O551" s="497"/>
      <c r="P551" s="497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826">
        <f>88426+15574+13000+26000</f>
        <v>143000</v>
      </c>
      <c r="O552" s="497"/>
      <c r="P552" s="497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826">
        <f>118259.3-90+3725+250+240+1308.7-2574</f>
        <v>121119</v>
      </c>
      <c r="O553" s="497"/>
      <c r="P553" s="497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826">
        <v>0</v>
      </c>
      <c r="O554" s="497"/>
      <c r="P554" s="497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IFERROR(__xludf.DUMMYFUNCTION("IMPORTRANGE(""https://docs.google.com/spreadsheets/d/1QqKyyYR6Q21VydFLVH3TRQUabQu_ym0Zz7PgGX0-kHA/edit?usp=sharing"",""แผน!HF87"")"),0)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41" t="s">
        <v>38</v>
      </c>
      <c r="E558" s="760"/>
      <c r="F558" s="760"/>
      <c r="G558" s="612"/>
      <c r="H558" s="761"/>
      <c r="I558" s="183"/>
      <c r="J558" s="183"/>
      <c r="K558" s="162"/>
      <c r="L558" s="162"/>
      <c r="M558" s="162"/>
      <c r="N558" s="162"/>
      <c r="O558" s="162"/>
      <c r="P558" s="162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234</v>
      </c>
      <c r="C559" s="693"/>
      <c r="D559" s="693"/>
      <c r="E559" s="672"/>
      <c r="F559" s="672"/>
      <c r="G559" s="673"/>
      <c r="H559" s="694" t="s">
        <v>46</v>
      </c>
      <c r="I559" s="707">
        <f ca="1">I576</f>
        <v>10513.862499999999</v>
      </c>
      <c r="J559" s="707">
        <f>J576</f>
        <v>10513.862499999999</v>
      </c>
      <c r="K559" s="676">
        <f ca="1">IF(I559&gt;0,J559*100/I559,0)</f>
        <v>100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235</v>
      </c>
      <c r="D560" s="617"/>
      <c r="E560" s="625"/>
      <c r="F560" s="625"/>
      <c r="G560" s="761"/>
      <c r="H560" s="766" t="s">
        <v>46</v>
      </c>
      <c r="I560" s="192">
        <f ca="1">IFERROR(__xludf.DUMMYFUNCTION("IMPORTRANGE(""https://docs.google.com/spreadsheets/d/1QqKyyYR6Q21VydFLVH3TRQUabQu_ym0Zz7PgGX0-kHA/edit?usp=sharing"",""แผน!HH87"")"),10513.8625)</f>
        <v>10513.862499999999</v>
      </c>
      <c r="J560" s="192">
        <f>J562+J564+J566</f>
        <v>10513.41</v>
      </c>
      <c r="K560" s="411">
        <f ca="1">IF(I560&gt;0,J560*100/I560,0)</f>
        <v>99.995696158286265</v>
      </c>
      <c r="L560" s="162"/>
      <c r="M560" s="162"/>
      <c r="N560" s="162"/>
      <c r="O560" s="162"/>
      <c r="P560" s="162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2">
        <f ca="1">IFERROR(__xludf.DUMMYFUNCTION("IMPORTRANGE(""https://docs.google.com/spreadsheets/d/1QqKyyYR6Q21VydFLVH3TRQUabQu_ym0Zz7PgGX0-kHA/edit?usp=sharing"",""แผน!HG87"")"),1831)</f>
        <v>1831</v>
      </c>
      <c r="J561" s="192">
        <f>J563+J565+J567</f>
        <v>1831</v>
      </c>
      <c r="K561" s="411">
        <f ca="1">IF(I561&gt;0,J561*100/I561,0)</f>
        <v>100</v>
      </c>
      <c r="L561" s="162"/>
      <c r="M561" s="162"/>
      <c r="N561" s="162"/>
      <c r="O561" s="162"/>
      <c r="P561" s="162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236</v>
      </c>
      <c r="E562" s="625"/>
      <c r="F562" s="625"/>
      <c r="G562" s="761"/>
      <c r="H562" s="763" t="s">
        <v>46</v>
      </c>
      <c r="I562" s="183"/>
      <c r="J562" s="214">
        <v>9999</v>
      </c>
      <c r="K562" s="162"/>
      <c r="L562" s="162"/>
      <c r="M562" s="162"/>
      <c r="N562" s="162"/>
      <c r="O562" s="162"/>
      <c r="P562" s="162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3"/>
      <c r="J563" s="214">
        <v>1747</v>
      </c>
      <c r="K563" s="162"/>
      <c r="L563" s="162"/>
      <c r="M563" s="162"/>
      <c r="N563" s="162"/>
      <c r="O563" s="162"/>
      <c r="P563" s="162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237</v>
      </c>
      <c r="E564" s="625"/>
      <c r="F564" s="625"/>
      <c r="G564" s="761"/>
      <c r="H564" s="763" t="s">
        <v>46</v>
      </c>
      <c r="I564" s="183"/>
      <c r="J564" s="214">
        <v>316.64249999999998</v>
      </c>
      <c r="K564" s="162"/>
      <c r="L564" s="162"/>
      <c r="M564" s="162"/>
      <c r="N564" s="162"/>
      <c r="O564" s="162"/>
      <c r="P564" s="162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3"/>
      <c r="J565" s="214">
        <v>50</v>
      </c>
      <c r="K565" s="162"/>
      <c r="L565" s="162"/>
      <c r="M565" s="162"/>
      <c r="N565" s="162"/>
      <c r="O565" s="162"/>
      <c r="P565" s="162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238</v>
      </c>
      <c r="E566" s="625"/>
      <c r="F566" s="625"/>
      <c r="G566" s="761"/>
      <c r="H566" s="763" t="s">
        <v>46</v>
      </c>
      <c r="I566" s="183"/>
      <c r="J566" s="214">
        <v>197.76750000000001</v>
      </c>
      <c r="K566" s="162"/>
      <c r="L566" s="162"/>
      <c r="M566" s="162"/>
      <c r="N566" s="162"/>
      <c r="O566" s="162"/>
      <c r="P566" s="162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3"/>
      <c r="J567" s="214">
        <v>34</v>
      </c>
      <c r="K567" s="162"/>
      <c r="L567" s="162"/>
      <c r="M567" s="162"/>
      <c r="N567" s="162"/>
      <c r="O567" s="162"/>
      <c r="P567" s="162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239</v>
      </c>
      <c r="D568" s="625"/>
      <c r="E568" s="625"/>
      <c r="F568" s="625"/>
      <c r="G568" s="761"/>
      <c r="H568" s="766" t="s">
        <v>46</v>
      </c>
      <c r="I568" s="192">
        <f ca="1">IFERROR(__xludf.DUMMYFUNCTION("IMPORTRANGE(""https://docs.google.com/spreadsheets/d/1QqKyyYR6Q21VydFLVH3TRQUabQu_ym0Zz7PgGX0-kHA/edit?usp=sharing"",""แผน!HH87"")"),10513.8625)</f>
        <v>10513.862499999999</v>
      </c>
      <c r="J568" s="680">
        <f>J570+J572+J574</f>
        <v>10512.925000000001</v>
      </c>
      <c r="K568" s="411">
        <f ca="1">IF(I568&gt;0,J568*100/I568,0)</f>
        <v>99.99108320086934</v>
      </c>
      <c r="L568" s="162"/>
      <c r="M568" s="162"/>
      <c r="N568" s="162"/>
      <c r="O568" s="162"/>
      <c r="P568" s="162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2">
        <f ca="1">IFERROR(__xludf.DUMMYFUNCTION("IMPORTRANGE(""https://docs.google.com/spreadsheets/d/1QqKyyYR6Q21VydFLVH3TRQUabQu_ym0Zz7PgGX0-kHA/edit?usp=sharing"",""แผน!HG87"")"),1831)</f>
        <v>1831</v>
      </c>
      <c r="J569" s="680">
        <f>J571+J573+J575</f>
        <v>1831</v>
      </c>
      <c r="K569" s="411">
        <f ca="1">IF(I569&gt;0,J569*100/I569,0)</f>
        <v>100</v>
      </c>
      <c r="L569" s="162"/>
      <c r="M569" s="162"/>
      <c r="N569" s="162"/>
      <c r="O569" s="162"/>
      <c r="P569" s="162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240</v>
      </c>
      <c r="E570" s="617"/>
      <c r="F570" s="625"/>
      <c r="G570" s="761"/>
      <c r="H570" s="763" t="s">
        <v>46</v>
      </c>
      <c r="I570" s="183"/>
      <c r="J570" s="214">
        <v>10055</v>
      </c>
      <c r="K570" s="162"/>
      <c r="L570" s="162"/>
      <c r="M570" s="162"/>
      <c r="N570" s="162"/>
      <c r="O570" s="162"/>
      <c r="P570" s="162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3"/>
      <c r="J571" s="214">
        <v>1758</v>
      </c>
      <c r="K571" s="162"/>
      <c r="L571" s="162"/>
      <c r="M571" s="162"/>
      <c r="N571" s="162"/>
      <c r="O571" s="162"/>
      <c r="P571" s="162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241</v>
      </c>
      <c r="E572" s="625"/>
      <c r="F572" s="625"/>
      <c r="G572" s="761"/>
      <c r="H572" s="763" t="s">
        <v>46</v>
      </c>
      <c r="I572" s="183"/>
      <c r="J572" s="214">
        <v>199.245</v>
      </c>
      <c r="K572" s="162"/>
      <c r="L572" s="162"/>
      <c r="M572" s="162"/>
      <c r="N572" s="162"/>
      <c r="O572" s="162"/>
      <c r="P572" s="162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3"/>
      <c r="J573" s="214">
        <v>29</v>
      </c>
      <c r="K573" s="162"/>
      <c r="L573" s="162"/>
      <c r="M573" s="162"/>
      <c r="N573" s="162"/>
      <c r="O573" s="162"/>
      <c r="P573" s="162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242</v>
      </c>
      <c r="E574" s="625"/>
      <c r="F574" s="625"/>
      <c r="G574" s="761"/>
      <c r="H574" s="763" t="s">
        <v>46</v>
      </c>
      <c r="I574" s="183"/>
      <c r="J574" s="214">
        <v>258.68</v>
      </c>
      <c r="K574" s="162"/>
      <c r="L574" s="162"/>
      <c r="M574" s="162"/>
      <c r="N574" s="162"/>
      <c r="O574" s="162"/>
      <c r="P574" s="162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3"/>
      <c r="J575" s="214">
        <v>44</v>
      </c>
      <c r="K575" s="162"/>
      <c r="L575" s="162"/>
      <c r="M575" s="162"/>
      <c r="N575" s="162"/>
      <c r="O575" s="162"/>
      <c r="P575" s="162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243</v>
      </c>
      <c r="D576" s="617"/>
      <c r="E576" s="617"/>
      <c r="F576" s="625"/>
      <c r="G576" s="761"/>
      <c r="H576" s="766" t="s">
        <v>46</v>
      </c>
      <c r="I576" s="192">
        <f ca="1">IFERROR(__xludf.DUMMYFUNCTION("IMPORTRANGE(""https://docs.google.com/spreadsheets/d/1QqKyyYR6Q21VydFLVH3TRQUabQu_ym0Zz7PgGX0-kHA/edit?usp=sharing"",""แผน!HH87"")"),10513.8625)</f>
        <v>10513.862499999999</v>
      </c>
      <c r="J576" s="680">
        <f>J578+J580+J582+J588+J590</f>
        <v>10513.862499999999</v>
      </c>
      <c r="K576" s="411">
        <f ca="1">IF(I576&gt;0,J576*100/I576,0)</f>
        <v>100</v>
      </c>
      <c r="L576" s="162"/>
      <c r="M576" s="162"/>
      <c r="N576" s="162"/>
      <c r="O576" s="162"/>
      <c r="P576" s="162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2">
        <f ca="1">IFERROR(__xludf.DUMMYFUNCTION("IMPORTRANGE(""https://docs.google.com/spreadsheets/d/1QqKyyYR6Q21VydFLVH3TRQUabQu_ym0Zz7PgGX0-kHA/edit?usp=sharing"",""แผน!HG87"")"),1831)</f>
        <v>1831</v>
      </c>
      <c r="J577" s="680">
        <f>J579+J581+J583+J589+J591</f>
        <v>1831</v>
      </c>
      <c r="K577" s="411">
        <f ca="1">IF(I577&gt;0,J577*100/I577,0)</f>
        <v>100</v>
      </c>
      <c r="L577" s="162"/>
      <c r="M577" s="162"/>
      <c r="N577" s="162"/>
      <c r="O577" s="162"/>
      <c r="P577" s="162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244</v>
      </c>
      <c r="E578" s="625"/>
      <c r="F578" s="625"/>
      <c r="G578" s="761"/>
      <c r="H578" s="763" t="s">
        <v>46</v>
      </c>
      <c r="I578" s="183"/>
      <c r="J578" s="214">
        <v>10238.66</v>
      </c>
      <c r="K578" s="162"/>
      <c r="L578" s="162"/>
      <c r="M578" s="162"/>
      <c r="N578" s="162"/>
      <c r="O578" s="162"/>
      <c r="P578" s="162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3"/>
      <c r="J579" s="214">
        <v>1781</v>
      </c>
      <c r="K579" s="162"/>
      <c r="L579" s="162"/>
      <c r="M579" s="162"/>
      <c r="N579" s="162"/>
      <c r="O579" s="162"/>
      <c r="P579" s="162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245</v>
      </c>
      <c r="E580" s="625"/>
      <c r="F580" s="625"/>
      <c r="G580" s="761"/>
      <c r="H580" s="763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246</v>
      </c>
      <c r="E582" s="625"/>
      <c r="F582" s="625"/>
      <c r="G582" s="761"/>
      <c r="H582" s="763" t="s">
        <v>46</v>
      </c>
      <c r="I582" s="183"/>
      <c r="J582" s="680">
        <f>J584+J586</f>
        <v>258.68</v>
      </c>
      <c r="K582" s="411"/>
      <c r="L582" s="162"/>
      <c r="M582" s="162"/>
      <c r="N582" s="162"/>
      <c r="O582" s="162"/>
      <c r="P582" s="162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3"/>
      <c r="J583" s="680">
        <f>J585+J587</f>
        <v>44</v>
      </c>
      <c r="K583" s="411"/>
      <c r="L583" s="162"/>
      <c r="M583" s="162"/>
      <c r="N583" s="162"/>
      <c r="O583" s="162"/>
      <c r="P583" s="162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247</v>
      </c>
      <c r="F584" s="625"/>
      <c r="G584" s="761"/>
      <c r="H584" s="763" t="s">
        <v>46</v>
      </c>
      <c r="I584" s="183"/>
      <c r="J584" s="214">
        <v>258.68</v>
      </c>
      <c r="K584" s="162"/>
      <c r="L584" s="162"/>
      <c r="M584" s="162"/>
      <c r="N584" s="162"/>
      <c r="O584" s="162"/>
      <c r="P584" s="162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3"/>
      <c r="J585" s="214">
        <v>44</v>
      </c>
      <c r="K585" s="162"/>
      <c r="L585" s="162"/>
      <c r="M585" s="162"/>
      <c r="N585" s="162"/>
      <c r="O585" s="162"/>
      <c r="P585" s="162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248</v>
      </c>
      <c r="F586" s="625"/>
      <c r="G586" s="761"/>
      <c r="H586" s="763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249</v>
      </c>
      <c r="E588" s="625"/>
      <c r="F588" s="625"/>
      <c r="G588" s="761"/>
      <c r="H588" s="763" t="s">
        <v>46</v>
      </c>
      <c r="I588" s="183"/>
      <c r="J588" s="214">
        <v>16.522500000000001</v>
      </c>
      <c r="K588" s="162"/>
      <c r="L588" s="162"/>
      <c r="M588" s="162"/>
      <c r="N588" s="162"/>
      <c r="O588" s="162"/>
      <c r="P588" s="162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3"/>
      <c r="J589" s="214">
        <v>6</v>
      </c>
      <c r="K589" s="162"/>
      <c r="L589" s="162"/>
      <c r="M589" s="162"/>
      <c r="N589" s="162"/>
      <c r="O589" s="162"/>
      <c r="P589" s="162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250</v>
      </c>
      <c r="E590" s="625"/>
      <c r="F590" s="625"/>
      <c r="G590" s="761"/>
      <c r="H590" s="763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251</v>
      </c>
      <c r="C592" s="693"/>
      <c r="D592" s="693"/>
      <c r="E592" s="672"/>
      <c r="F592" s="672"/>
      <c r="G592" s="673"/>
      <c r="H592" s="694" t="s">
        <v>46</v>
      </c>
      <c r="I592" s="702">
        <f ca="1">I593</f>
        <v>414.92</v>
      </c>
      <c r="J592" s="707">
        <f>J593</f>
        <v>414.91499999999996</v>
      </c>
      <c r="K592" s="676">
        <f ca="1">IF(I592&gt;0,J592*100/I592,0)</f>
        <v>99.998794948423793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252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IFERROR(__xludf.DUMMYFUNCTION("IMPORTRANGE(""https://docs.google.com/spreadsheets/d/1QqKyyYR6Q21VydFLVH3TRQUabQu_ym0Zz7PgGX0-kHA/edit?usp=sharing"",""แผน!HJ87"")"),414.92)</f>
        <v>414.92</v>
      </c>
      <c r="J593" s="192">
        <f>J595+J603+J609</f>
        <v>414.91499999999996</v>
      </c>
      <c r="K593" s="411">
        <f ca="1">IF(I593&gt;0,J593*100/I593,0)</f>
        <v>99.998794948423793</v>
      </c>
      <c r="L593" s="162"/>
      <c r="M593" s="162"/>
      <c r="N593" s="162"/>
      <c r="O593" s="162"/>
      <c r="P593" s="162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2">
        <f ca="1">IFERROR(__xludf.DUMMYFUNCTION("IMPORTRANGE(""https://docs.google.com/spreadsheets/d/1QqKyyYR6Q21VydFLVH3TRQUabQu_ym0Zz7PgGX0-kHA/edit?usp=sharing"",""แผน!HI87"")"),44)</f>
        <v>44</v>
      </c>
      <c r="J594" s="192">
        <f>J596+J604+J610</f>
        <v>44</v>
      </c>
      <c r="K594" s="411">
        <f ca="1">IF(I594&gt;0,J594*100/I594,0)</f>
        <v>100</v>
      </c>
      <c r="L594" s="162"/>
      <c r="M594" s="162"/>
      <c r="N594" s="162"/>
      <c r="O594" s="162"/>
      <c r="P594" s="162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253</v>
      </c>
      <c r="D595" s="617"/>
      <c r="E595" s="617"/>
      <c r="F595" s="625"/>
      <c r="G595" s="761"/>
      <c r="H595" s="763" t="s">
        <v>46</v>
      </c>
      <c r="I595" s="183"/>
      <c r="J595" s="183">
        <f>J597+J599</f>
        <v>195.65749999999997</v>
      </c>
      <c r="K595" s="162"/>
      <c r="L595" s="162"/>
      <c r="M595" s="162"/>
      <c r="N595" s="162"/>
      <c r="O595" s="162"/>
      <c r="P595" s="162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3"/>
      <c r="J596" s="183">
        <f>J598+J600</f>
        <v>26</v>
      </c>
      <c r="K596" s="162"/>
      <c r="L596" s="162"/>
      <c r="M596" s="162"/>
      <c r="N596" s="162"/>
      <c r="O596" s="162"/>
      <c r="P596" s="162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254</v>
      </c>
      <c r="E597" s="625"/>
      <c r="F597" s="625"/>
      <c r="G597" s="761"/>
      <c r="H597" s="763" t="s">
        <v>46</v>
      </c>
      <c r="I597" s="183"/>
      <c r="J597" s="214">
        <v>56.55</v>
      </c>
      <c r="K597" s="162"/>
      <c r="L597" s="162"/>
      <c r="M597" s="162"/>
      <c r="N597" s="162"/>
      <c r="O597" s="162"/>
      <c r="P597" s="162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69"/>
      <c r="J598" s="214">
        <v>9</v>
      </c>
      <c r="K598" s="162"/>
      <c r="L598" s="162"/>
      <c r="M598" s="162"/>
      <c r="N598" s="162"/>
      <c r="O598" s="162"/>
      <c r="P598" s="162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255</v>
      </c>
      <c r="E599" s="625"/>
      <c r="F599" s="625"/>
      <c r="G599" s="761"/>
      <c r="H599" s="763" t="s">
        <v>46</v>
      </c>
      <c r="I599" s="269"/>
      <c r="J599" s="214">
        <v>139.10749999999999</v>
      </c>
      <c r="K599" s="162"/>
      <c r="L599" s="162"/>
      <c r="M599" s="162"/>
      <c r="N599" s="162"/>
      <c r="O599" s="162"/>
      <c r="P599" s="162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69"/>
      <c r="J600" s="214">
        <v>17</v>
      </c>
      <c r="K600" s="162"/>
      <c r="L600" s="162"/>
      <c r="M600" s="162"/>
      <c r="N600" s="162"/>
      <c r="O600" s="162"/>
      <c r="P600" s="162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256</v>
      </c>
      <c r="E601" s="625"/>
      <c r="F601" s="625"/>
      <c r="G601" s="761"/>
      <c r="H601" s="763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257</v>
      </c>
      <c r="D603" s="617"/>
      <c r="E603" s="617"/>
      <c r="F603" s="625"/>
      <c r="G603" s="761"/>
      <c r="H603" s="763" t="s">
        <v>46</v>
      </c>
      <c r="I603" s="269"/>
      <c r="J603" s="269">
        <f>J605+J607</f>
        <v>219.25749999999999</v>
      </c>
      <c r="K603" s="162"/>
      <c r="L603" s="162"/>
      <c r="M603" s="162"/>
      <c r="N603" s="162"/>
      <c r="O603" s="162"/>
      <c r="P603" s="162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69"/>
      <c r="J604" s="269">
        <f>J606+J608</f>
        <v>18</v>
      </c>
      <c r="K604" s="162"/>
      <c r="L604" s="162"/>
      <c r="M604" s="162"/>
      <c r="N604" s="162"/>
      <c r="O604" s="162"/>
      <c r="P604" s="162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258</v>
      </c>
      <c r="E605" s="625"/>
      <c r="F605" s="625"/>
      <c r="G605" s="761"/>
      <c r="H605" s="763" t="s">
        <v>46</v>
      </c>
      <c r="I605" s="269"/>
      <c r="J605" s="214">
        <v>218.57249999999999</v>
      </c>
      <c r="K605" s="162"/>
      <c r="L605" s="162"/>
      <c r="M605" s="162"/>
      <c r="N605" s="162"/>
      <c r="O605" s="162"/>
      <c r="P605" s="162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69"/>
      <c r="J606" s="214">
        <v>17</v>
      </c>
      <c r="K606" s="162"/>
      <c r="L606" s="162"/>
      <c r="M606" s="162"/>
      <c r="N606" s="162"/>
      <c r="O606" s="162"/>
      <c r="P606" s="162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259</v>
      </c>
      <c r="E607" s="617"/>
      <c r="F607" s="625"/>
      <c r="G607" s="761"/>
      <c r="H607" s="763" t="s">
        <v>46</v>
      </c>
      <c r="I607" s="269"/>
      <c r="J607" s="214">
        <v>0.68500000000000005</v>
      </c>
      <c r="K607" s="162"/>
      <c r="L607" s="162"/>
      <c r="M607" s="162"/>
      <c r="N607" s="162"/>
      <c r="O607" s="162"/>
      <c r="P607" s="162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69"/>
      <c r="J608" s="214">
        <v>1</v>
      </c>
      <c r="K608" s="162"/>
      <c r="L608" s="162"/>
      <c r="M608" s="162"/>
      <c r="N608" s="162"/>
      <c r="O608" s="162"/>
      <c r="P608" s="162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260</v>
      </c>
      <c r="D609" s="617"/>
      <c r="E609" s="617"/>
      <c r="F609" s="625"/>
      <c r="G609" s="761"/>
      <c r="H609" s="763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261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262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>J614+J616</f>
        <v>0</v>
      </c>
      <c r="K612" s="716">
        <f>IF(I612&gt;0,J612*100/I612,0)</f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263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>J615+J617</f>
        <v>0</v>
      </c>
      <c r="K613" s="716">
        <f>IF(I613&gt;0,J613*100/I613,0)</f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264</v>
      </c>
      <c r="E614" s="615"/>
      <c r="F614" s="719"/>
      <c r="G614" s="365"/>
      <c r="H614" s="369" t="s">
        <v>46</v>
      </c>
      <c r="I614" s="616"/>
      <c r="J614" s="616">
        <v>0</v>
      </c>
      <c r="K614" s="166"/>
      <c r="L614" s="166"/>
      <c r="M614" s="166"/>
      <c r="N614" s="166"/>
      <c r="O614" s="166"/>
      <c r="P614" s="166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5"/>
      <c r="H615" s="369" t="s">
        <v>34</v>
      </c>
      <c r="I615" s="616"/>
      <c r="J615" s="616">
        <v>0</v>
      </c>
      <c r="K615" s="166"/>
      <c r="L615" s="166"/>
      <c r="M615" s="166"/>
      <c r="N615" s="166"/>
      <c r="O615" s="166"/>
      <c r="P615" s="166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264</v>
      </c>
      <c r="E616" s="719"/>
      <c r="F616" s="719"/>
      <c r="G616" s="365"/>
      <c r="H616" s="369" t="s">
        <v>46</v>
      </c>
      <c r="I616" s="616"/>
      <c r="J616" s="616">
        <v>0</v>
      </c>
      <c r="K616" s="166"/>
      <c r="L616" s="166"/>
      <c r="M616" s="166"/>
      <c r="N616" s="166"/>
      <c r="O616" s="166"/>
      <c r="P616" s="166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5"/>
      <c r="H617" s="369" t="s">
        <v>34</v>
      </c>
      <c r="I617" s="616"/>
      <c r="J617" s="616">
        <v>0</v>
      </c>
      <c r="K617" s="166"/>
      <c r="L617" s="166"/>
      <c r="M617" s="166"/>
      <c r="N617" s="166"/>
      <c r="O617" s="166"/>
      <c r="P617" s="166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265</v>
      </c>
      <c r="E618" s="719"/>
      <c r="F618" s="719"/>
      <c r="G618" s="365"/>
      <c r="H618" s="369" t="s">
        <v>46</v>
      </c>
      <c r="I618" s="616"/>
      <c r="J618" s="616">
        <v>0</v>
      </c>
      <c r="K618" s="166"/>
      <c r="L618" s="166"/>
      <c r="M618" s="166"/>
      <c r="N618" s="166"/>
      <c r="O618" s="166"/>
      <c r="P618" s="166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5"/>
      <c r="H619" s="369" t="s">
        <v>34</v>
      </c>
      <c r="I619" s="616"/>
      <c r="J619" s="616">
        <v>0</v>
      </c>
      <c r="K619" s="166"/>
      <c r="L619" s="166"/>
      <c r="M619" s="166"/>
      <c r="N619" s="166"/>
      <c r="O619" s="166"/>
      <c r="P619" s="166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266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IFERROR(__xludf.DUMMYFUNCTION("IMPORTRANGE(""https://docs.google.com/spreadsheets/d/1QqKyyYR6Q21VydFLVH3TRQUabQu_ym0Zz7PgGX0-kHA/edit?usp=sharing"",""แผน!HL87"")"),0)</f>
        <v>0</v>
      </c>
      <c r="J620" s="727">
        <f>J622+J624+J626</f>
        <v>0</v>
      </c>
      <c r="K620" s="728">
        <f ca="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267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IFERROR(__xludf.DUMMYFUNCTION("IMPORTRANGE(""https://docs.google.com/spreadsheets/d/1QqKyyYR6Q21VydFLVH3TRQUabQu_ym0Zz7PgGX0-kHA/edit?usp=sharing"",""แผน!HK87"")"),0)</f>
        <v>0</v>
      </c>
      <c r="J621" s="727">
        <f>J623+J625+J627</f>
        <v>0</v>
      </c>
      <c r="K621" s="728">
        <f ca="1">IF(I621&gt;0,J621*100/I621,0)</f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268</v>
      </c>
      <c r="E622" s="625"/>
      <c r="F622" s="625"/>
      <c r="G622" s="761"/>
      <c r="H622" s="763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264</v>
      </c>
      <c r="E624" s="625"/>
      <c r="F624" s="625"/>
      <c r="G624" s="761"/>
      <c r="H624" s="763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269</v>
      </c>
      <c r="E626" s="625"/>
      <c r="F626" s="625"/>
      <c r="G626" s="761"/>
      <c r="H626" s="763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2" t="s">
        <v>34</v>
      </c>
      <c r="I627" s="505"/>
      <c r="J627" s="424">
        <v>0</v>
      </c>
      <c r="K627" s="384"/>
      <c r="L627" s="384"/>
      <c r="M627" s="384"/>
      <c r="N627" s="384"/>
      <c r="O627" s="384"/>
      <c r="P627" s="384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270</v>
      </c>
      <c r="C628" s="737"/>
      <c r="D628" s="737"/>
      <c r="E628" s="737"/>
      <c r="F628" s="737"/>
      <c r="G628" s="738"/>
      <c r="H628" s="739" t="s">
        <v>35</v>
      </c>
      <c r="I628" s="740">
        <f ca="1">I651</f>
        <v>0</v>
      </c>
      <c r="J628" s="740">
        <f ca="1">J651</f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87" t="s">
        <v>17</v>
      </c>
      <c r="E629" s="888"/>
      <c r="F629" s="888"/>
      <c r="G629" s="188"/>
      <c r="H629" s="597" t="s">
        <v>12</v>
      </c>
      <c r="I629" s="269"/>
      <c r="J629" s="269"/>
      <c r="K629" s="497"/>
      <c r="L629" s="194">
        <f ca="1">L630+L631</f>
        <v>0</v>
      </c>
      <c r="M629" s="194">
        <f>M630+M631</f>
        <v>0</v>
      </c>
      <c r="N629" s="194">
        <f>N630+N631</f>
        <v>0</v>
      </c>
      <c r="O629" s="194">
        <f t="shared" ref="O629:O634" ca="1" si="90">IF(L629&gt;0,N629*100/L629,0)</f>
        <v>0</v>
      </c>
      <c r="P629" s="194">
        <f t="shared" ref="P629:P634" si="91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184</v>
      </c>
      <c r="F630" s="758"/>
      <c r="G630" s="602"/>
      <c r="H630" s="164" t="s">
        <v>12</v>
      </c>
      <c r="I630" s="616"/>
      <c r="J630" s="616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185</v>
      </c>
      <c r="F631" s="758"/>
      <c r="G631" s="602"/>
      <c r="H631" s="164" t="s">
        <v>12</v>
      </c>
      <c r="I631" s="616"/>
      <c r="J631" s="616"/>
      <c r="K631" s="92"/>
      <c r="L631" s="92">
        <f t="shared" ca="1" si="92"/>
        <v>0</v>
      </c>
      <c r="M631" s="92">
        <f t="shared" si="92"/>
        <v>0</v>
      </c>
      <c r="N631" s="92">
        <f t="shared" si="92"/>
        <v>0</v>
      </c>
      <c r="O631" s="92">
        <f t="shared" ca="1" si="90"/>
        <v>0</v>
      </c>
      <c r="P631" s="92">
        <f t="shared" si="91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8"/>
      <c r="H632" s="160" t="s">
        <v>12</v>
      </c>
      <c r="I632" s="183"/>
      <c r="J632" s="183"/>
      <c r="K632" s="162"/>
      <c r="L632" s="497">
        <f ca="1">L633+L634</f>
        <v>0</v>
      </c>
      <c r="M632" s="497">
        <f>M633+M634</f>
        <v>0</v>
      </c>
      <c r="N632" s="497">
        <f>N633+N634</f>
        <v>0</v>
      </c>
      <c r="O632" s="497">
        <f t="shared" ca="1" si="90"/>
        <v>0</v>
      </c>
      <c r="P632" s="497">
        <f t="shared" si="91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184</v>
      </c>
      <c r="F633" s="758"/>
      <c r="G633" s="602"/>
      <c r="H633" s="164" t="s">
        <v>12</v>
      </c>
      <c r="I633" s="616"/>
      <c r="J633" s="616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185</v>
      </c>
      <c r="F634" s="758"/>
      <c r="G634" s="602"/>
      <c r="H634" s="164" t="s">
        <v>12</v>
      </c>
      <c r="I634" s="616"/>
      <c r="J634" s="616"/>
      <c r="K634" s="92"/>
      <c r="L634" s="92">
        <f ca="1">IFERROR(__xludf.DUMMYFUNCTION("IMPORTRANGE(""https://docs.google.com/spreadsheets/d/1QqKyyYR6Q21VydFLVH3TRQUabQu_ym0Zz7PgGX0-kHA/edit?usp=sharing"",""แผน!HN87"")"),0)</f>
        <v>0</v>
      </c>
      <c r="M634" s="92">
        <v>0</v>
      </c>
      <c r="N634" s="92">
        <f>N635+N636+N637+N638</f>
        <v>0</v>
      </c>
      <c r="O634" s="92">
        <f t="shared" ca="1" si="90"/>
        <v>0</v>
      </c>
      <c r="P634" s="92">
        <f t="shared" si="91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826">
        <v>0</v>
      </c>
      <c r="O635" s="497"/>
      <c r="P635" s="497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826">
        <v>0</v>
      </c>
      <c r="O636" s="497"/>
      <c r="P636" s="497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826">
        <v>0</v>
      </c>
      <c r="O637" s="497"/>
      <c r="P637" s="497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826">
        <v>0</v>
      </c>
      <c r="O638" s="497"/>
      <c r="P638" s="497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IFERROR(__xludf.DUMMYFUNCTION("IMPORTRANGE(""https://docs.google.com/spreadsheets/d/1QqKyyYR6Q21VydFLVH3TRQUabQu_ym0Zz7PgGX0-kHA/edit?usp=sharing"",""แผน!HQ87"")"),0)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41" t="s">
        <v>38</v>
      </c>
      <c r="E642" s="760"/>
      <c r="F642" s="760"/>
      <c r="G642" s="612"/>
      <c r="H642" s="761"/>
      <c r="I642" s="183"/>
      <c r="J642" s="183"/>
      <c r="K642" s="162"/>
      <c r="L642" s="162"/>
      <c r="M642" s="162"/>
      <c r="N642" s="162"/>
      <c r="O642" s="162"/>
      <c r="P642" s="162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271</v>
      </c>
      <c r="F643" s="625"/>
      <c r="G643" s="761"/>
      <c r="H643" s="763" t="s">
        <v>272</v>
      </c>
      <c r="I643" s="269">
        <f ca="1">IFERROR(__xludf.DUMMYFUNCTION("IMPORTRANGE(""https://docs.google.com/spreadsheets/d/1QqKyyYR6Q21VydFLVH3TRQUabQu_ym0Zz7PgGX0-kHA/edit?usp=sharing"",""แผน!HR87"")"),0)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273</v>
      </c>
      <c r="F644" s="625"/>
      <c r="G644" s="761"/>
      <c r="H644" s="763" t="s">
        <v>274</v>
      </c>
      <c r="I644" s="269">
        <f ca="1">IFERROR(__xludf.DUMMYFUNCTION("IMPORTRANGE(""https://docs.google.com/spreadsheets/d/1QqKyyYR6Q21VydFLVH3TRQUabQu_ym0Zz7PgGX0-kHA/edit?usp=sharing"",""แผน!HR87"")"),0)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275</v>
      </c>
      <c r="F645" s="625"/>
      <c r="G645" s="761"/>
      <c r="H645" s="763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IFERROR(__xludf.DUMMYFUNCTION("IMPORTRANGE(""https://docs.google.com/spreadsheets/d/1XWAQStnk-4SwqDmLtmXYiTMKHgktTP8We1SCoS47DrQ/edit?usp=sharing"",""จัดที่ดิน!AS87"")"),0)</f>
        <v>0</v>
      </c>
      <c r="K645" s="162">
        <f t="shared" si="93"/>
        <v>0</v>
      </c>
      <c r="L645" s="162"/>
      <c r="M645" s="162"/>
      <c r="N645" s="497"/>
      <c r="O645" s="162"/>
      <c r="P645" s="162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IFERROR(__xludf.DUMMYFUNCTION("IMPORTRANGE(""https://docs.google.com/spreadsheets/d/1XWAQStnk-4SwqDmLtmXYiTMKHgktTP8We1SCoS47DrQ/edit?usp=sharing"",""จัดที่ดิน!AT87"")"),0)</f>
        <v>0</v>
      </c>
      <c r="K646" s="497">
        <f t="shared" si="93"/>
        <v>0</v>
      </c>
      <c r="L646" s="162"/>
      <c r="M646" s="162"/>
      <c r="N646" s="497"/>
      <c r="O646" s="162"/>
      <c r="P646" s="162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69">
        <f ca="1">IFERROR(__xludf.DUMMYFUNCTION("IMPORTRANGE(""https://docs.google.com/spreadsheets/d/1QqKyyYR6Q21VydFLVH3TRQUabQu_ym0Zz7PgGX0-kHA/edit?usp=sharing"",""แผน!HS87"")"),0)</f>
        <v>0</v>
      </c>
      <c r="J647" s="269">
        <f ca="1">IFERROR(__xludf.DUMMYFUNCTION("IMPORTRANGE(""https://docs.google.com/spreadsheets/d/1XWAQStnk-4SwqDmLtmXYiTMKHgktTP8We1SCoS47DrQ/edit?usp=sharing"",""จัดที่ดิน!AU87"")"),0)</f>
        <v>0</v>
      </c>
      <c r="K647" s="162">
        <f t="shared" ca="1" si="93"/>
        <v>0</v>
      </c>
      <c r="L647" s="162"/>
      <c r="M647" s="162"/>
      <c r="N647" s="162"/>
      <c r="O647" s="162"/>
      <c r="P647" s="162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IFERROR(__xludf.DUMMYFUNCTION("IMPORTRANGE(""https://docs.google.com/spreadsheets/d/1XWAQStnk-4SwqDmLtmXYiTMKHgktTP8We1SCoS47DrQ/edit?usp=sharing"",""จัดที่ดิน!AV87"")"),0)</f>
        <v>0</v>
      </c>
      <c r="K648" s="497">
        <f t="shared" si="93"/>
        <v>0</v>
      </c>
      <c r="L648" s="162"/>
      <c r="M648" s="162"/>
      <c r="N648" s="162"/>
      <c r="O648" s="162"/>
      <c r="P648" s="162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276</v>
      </c>
      <c r="F649" s="625"/>
      <c r="G649" s="761"/>
      <c r="H649" s="763" t="s">
        <v>35</v>
      </c>
      <c r="I649" s="269">
        <f ca="1">IFERROR(__xludf.DUMMYFUNCTION("IMPORTRANGE(""https://docs.google.com/spreadsheets/d/1QqKyyYR6Q21VydFLVH3TRQUabQu_ym0Zz7PgGX0-kHA/edit?usp=sharing"",""แผน!HS87"")"),0)</f>
        <v>0</v>
      </c>
      <c r="J649" s="269">
        <f ca="1">IFERROR(__xludf.DUMMYFUNCTION("IMPORTRANGE(""https://docs.google.com/spreadsheets/d/1XWAQStnk-4SwqDmLtmXYiTMKHgktTP8We1SCoS47DrQ/edit?usp=sharing"",""จัดที่ดิน!AW87"")"),0)</f>
        <v>0</v>
      </c>
      <c r="K649" s="162">
        <f t="shared" ca="1" si="93"/>
        <v>0</v>
      </c>
      <c r="L649" s="162"/>
      <c r="M649" s="162"/>
      <c r="N649" s="162"/>
      <c r="O649" s="162"/>
      <c r="P649" s="162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IFERROR(__xludf.DUMMYFUNCTION("IMPORTRANGE(""https://docs.google.com/spreadsheets/d/1XWAQStnk-4SwqDmLtmXYiTMKHgktTP8We1SCoS47DrQ/edit?usp=sharing"",""จัดที่ดิน!AX87"")"),0)</f>
        <v>0</v>
      </c>
      <c r="K650" s="497">
        <f t="shared" si="93"/>
        <v>0</v>
      </c>
      <c r="L650" s="162"/>
      <c r="M650" s="162"/>
      <c r="N650" s="162"/>
      <c r="O650" s="162"/>
      <c r="P650" s="162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277</v>
      </c>
      <c r="F651" s="625"/>
      <c r="G651" s="761"/>
      <c r="H651" s="763" t="s">
        <v>35</v>
      </c>
      <c r="I651" s="269">
        <f ca="1">IFERROR(__xludf.DUMMYFUNCTION("IMPORTRANGE(""https://docs.google.com/spreadsheets/d/1QqKyyYR6Q21VydFLVH3TRQUabQu_ym0Zz7PgGX0-kHA/edit?usp=sharing"",""แผน!HS87"")"),0)</f>
        <v>0</v>
      </c>
      <c r="J651" s="269">
        <f ca="1">IFERROR(__xludf.DUMMYFUNCTION("IMPORTRANGE(""https://docs.google.com/spreadsheets/d/1XWAQStnk-4SwqDmLtmXYiTMKHgktTP8We1SCoS47DrQ/edit?usp=sharing"",""จัดที่ดิน!AY87"")"),0)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827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IFERROR(__xludf.DUMMYFUNCTION("IMPORTRANGE(""https://docs.google.com/spreadsheets/d/1XWAQStnk-4SwqDmLtmXYiTMKHgktTP8We1SCoS47DrQ/edit?usp=sharing"",""จัดที่ดิน!AZ87"")"),0)</f>
        <v>0</v>
      </c>
      <c r="K652" s="506">
        <f t="shared" si="93"/>
        <v>0</v>
      </c>
      <c r="L652" s="384"/>
      <c r="M652" s="384"/>
      <c r="N652" s="384"/>
      <c r="O652" s="384"/>
      <c r="P652" s="384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278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279</v>
      </c>
      <c r="C654" s="672"/>
      <c r="D654" s="672"/>
      <c r="E654" s="672"/>
      <c r="F654" s="672"/>
      <c r="G654" s="673"/>
      <c r="H654" s="706" t="s">
        <v>46</v>
      </c>
      <c r="I654" s="707">
        <f ca="1">I669</f>
        <v>0</v>
      </c>
      <c r="J654" s="707">
        <f>J669</f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87" t="s">
        <v>17</v>
      </c>
      <c r="E655" s="888"/>
      <c r="F655" s="888"/>
      <c r="G655" s="188"/>
      <c r="H655" s="597" t="s">
        <v>12</v>
      </c>
      <c r="I655" s="269"/>
      <c r="J655" s="269"/>
      <c r="K655" s="497"/>
      <c r="L655" s="194">
        <f ca="1">L656+L657</f>
        <v>0</v>
      </c>
      <c r="M655" s="194">
        <f>M656+M657</f>
        <v>0</v>
      </c>
      <c r="N655" s="194">
        <f>N656+N657</f>
        <v>0</v>
      </c>
      <c r="O655" s="194">
        <f t="shared" ref="O655:O660" ca="1" si="94">IF(L655&gt;0,N655*100/L655,0)</f>
        <v>0</v>
      </c>
      <c r="P655" s="194">
        <f t="shared" ref="P655:P660" si="9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184</v>
      </c>
      <c r="F656" s="758"/>
      <c r="G656" s="602"/>
      <c r="H656" s="164" t="s">
        <v>12</v>
      </c>
      <c r="I656" s="616"/>
      <c r="J656" s="616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185</v>
      </c>
      <c r="F657" s="758"/>
      <c r="G657" s="602"/>
      <c r="H657" s="164" t="s">
        <v>12</v>
      </c>
      <c r="I657" s="616"/>
      <c r="J657" s="616"/>
      <c r="K657" s="92"/>
      <c r="L657" s="92">
        <f t="shared" ca="1" si="96"/>
        <v>0</v>
      </c>
      <c r="M657" s="92">
        <f t="shared" si="96"/>
        <v>0</v>
      </c>
      <c r="N657" s="92">
        <f t="shared" si="96"/>
        <v>0</v>
      </c>
      <c r="O657" s="92">
        <f t="shared" ca="1" si="94"/>
        <v>0</v>
      </c>
      <c r="P657" s="92">
        <f t="shared" si="9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8"/>
      <c r="H658" s="160" t="s">
        <v>12</v>
      </c>
      <c r="I658" s="183"/>
      <c r="J658" s="183"/>
      <c r="K658" s="162"/>
      <c r="L658" s="497">
        <f ca="1">L659+L660</f>
        <v>0</v>
      </c>
      <c r="M658" s="497">
        <f>M659+M660</f>
        <v>0</v>
      </c>
      <c r="N658" s="497">
        <f>N659+N660</f>
        <v>0</v>
      </c>
      <c r="O658" s="497">
        <f t="shared" ca="1" si="94"/>
        <v>0</v>
      </c>
      <c r="P658" s="497">
        <f t="shared" si="9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184</v>
      </c>
      <c r="F659" s="758"/>
      <c r="G659" s="602"/>
      <c r="H659" s="164" t="s">
        <v>12</v>
      </c>
      <c r="I659" s="616"/>
      <c r="J659" s="616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185</v>
      </c>
      <c r="F660" s="758"/>
      <c r="G660" s="602"/>
      <c r="H660" s="164" t="s">
        <v>12</v>
      </c>
      <c r="I660" s="616"/>
      <c r="J660" s="616"/>
      <c r="K660" s="92"/>
      <c r="L660" s="92">
        <f ca="1">IFERROR(__xludf.DUMMYFUNCTION("IMPORTRANGE(""https://docs.google.com/spreadsheets/d/1QqKyyYR6Q21VydFLVH3TRQUabQu_ym0Zz7PgGX0-kHA/edit?usp=sharing"",""แผน!HV87"")"),0)</f>
        <v>0</v>
      </c>
      <c r="M660" s="92">
        <v>0</v>
      </c>
      <c r="N660" s="92">
        <f>N661+N662+N663+N664</f>
        <v>0</v>
      </c>
      <c r="O660" s="92">
        <f t="shared" ca="1" si="94"/>
        <v>0</v>
      </c>
      <c r="P660" s="92">
        <f t="shared" si="9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826">
        <v>0</v>
      </c>
      <c r="O661" s="497"/>
      <c r="P661" s="497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826">
        <v>0</v>
      </c>
      <c r="O662" s="497"/>
      <c r="P662" s="497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826">
        <v>0</v>
      </c>
      <c r="O663" s="497"/>
      <c r="P663" s="497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826">
        <v>0</v>
      </c>
      <c r="O664" s="497"/>
      <c r="P664" s="497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40" t="s">
        <v>38</v>
      </c>
      <c r="E668" s="760"/>
      <c r="F668" s="760"/>
      <c r="G668" s="612"/>
      <c r="H668" s="761"/>
      <c r="I668" s="183"/>
      <c r="J668" s="183"/>
      <c r="K668" s="162"/>
      <c r="L668" s="162"/>
      <c r="M668" s="162"/>
      <c r="N668" s="162"/>
      <c r="O668" s="162"/>
      <c r="P668" s="162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280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IFERROR(__xludf.DUMMYFUNCTION("IMPORTRANGE(""https://docs.google.com/spreadsheets/d/1QqKyyYR6Q21VydFLVH3TRQUabQu_ym0Zz7PgGX0-kHA/edit?usp=sharing"",""แผน!IA87"")"),0)</f>
        <v>0</v>
      </c>
      <c r="J669" s="680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281</v>
      </c>
      <c r="F670" s="625"/>
      <c r="G670" s="761"/>
      <c r="H670" s="763" t="s">
        <v>66</v>
      </c>
      <c r="I670" s="269">
        <f ca="1">IFERROR(__xludf.DUMMYFUNCTION("IMPORTRANGE(""https://docs.google.com/spreadsheets/d/1QqKyyYR6Q21VydFLVH3TRQUabQu_ym0Zz7PgGX0-kHA/edit?usp=sharing"",""แผน!HZ87"")"),0)</f>
        <v>0</v>
      </c>
      <c r="J670" s="214">
        <v>0</v>
      </c>
      <c r="K670" s="497">
        <f ca="1">IF(I670&gt;0,(J670*100)/I670,0)</f>
        <v>0</v>
      </c>
      <c r="L670" s="162"/>
      <c r="M670" s="162"/>
      <c r="N670" s="162"/>
      <c r="O670" s="162"/>
      <c r="P670" s="162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282</v>
      </c>
      <c r="F671" s="625"/>
      <c r="G671" s="761"/>
      <c r="H671" s="763" t="s">
        <v>66</v>
      </c>
      <c r="I671" s="269">
        <f ca="1">IFERROR(__xludf.DUMMYFUNCTION("IMPORTRANGE(""https://docs.google.com/spreadsheets/d/1QqKyyYR6Q21VydFLVH3TRQUabQu_ym0Zz7PgGX0-kHA/edit?usp=sharing"",""แผน!HZ87"")"),0)</f>
        <v>0</v>
      </c>
      <c r="J671" s="214">
        <v>0</v>
      </c>
      <c r="K671" s="497">
        <f ca="1">IF(I$671&gt;0,J671*100/I$671,0)</f>
        <v>0</v>
      </c>
      <c r="L671" s="162"/>
      <c r="M671" s="162"/>
      <c r="N671" s="162"/>
      <c r="O671" s="162"/>
      <c r="P671" s="162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283</v>
      </c>
      <c r="F672" s="625"/>
      <c r="G672" s="761"/>
      <c r="H672" s="763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284</v>
      </c>
      <c r="F673" s="625"/>
      <c r="G673" s="761"/>
      <c r="H673" s="763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285</v>
      </c>
      <c r="F674" s="625"/>
      <c r="G674" s="761"/>
      <c r="H674" s="763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286</v>
      </c>
      <c r="F675" s="625"/>
      <c r="G675" s="761"/>
      <c r="H675" s="763" t="s">
        <v>46</v>
      </c>
      <c r="I675" s="269"/>
      <c r="J675" s="680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287</v>
      </c>
      <c r="G676" s="761"/>
      <c r="H676" s="763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288</v>
      </c>
      <c r="G677" s="761"/>
      <c r="H677" s="763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289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IFERROR(__xludf.DUMMYFUNCTION("IMPORTRANGE(""https://docs.google.com/spreadsheets/d/1QqKyyYR6Q21VydFLVH3TRQUabQu_ym0Zz7PgGX0-kHA/edit?usp=sharing"",""แผน!IB87"")"),0)</f>
        <v>0</v>
      </c>
      <c r="J678" s="680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290</v>
      </c>
      <c r="F679" s="625"/>
      <c r="G679" s="761"/>
      <c r="H679" s="763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287</v>
      </c>
      <c r="G680" s="761"/>
      <c r="H680" s="763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288</v>
      </c>
      <c r="G681" s="761"/>
      <c r="H681" s="763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291</v>
      </c>
      <c r="F682" s="625"/>
      <c r="G682" s="761"/>
      <c r="H682" s="763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292</v>
      </c>
      <c r="G683" s="761"/>
      <c r="H683" s="763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293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87" t="s">
        <v>17</v>
      </c>
      <c r="E685" s="888"/>
      <c r="F685" s="888"/>
      <c r="G685" s="188"/>
      <c r="H685" s="597" t="s">
        <v>12</v>
      </c>
      <c r="I685" s="269"/>
      <c r="J685" s="269"/>
      <c r="K685" s="497"/>
      <c r="L685" s="194">
        <f ca="1">L686+L687</f>
        <v>0</v>
      </c>
      <c r="M685" s="194">
        <f>M686+M687</f>
        <v>0</v>
      </c>
      <c r="N685" s="194">
        <f>N686+N687</f>
        <v>0</v>
      </c>
      <c r="O685" s="194">
        <f ca="1">IF(L685&gt;0,N685*100/L685,0)</f>
        <v>0</v>
      </c>
      <c r="P685" s="194">
        <f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184</v>
      </c>
      <c r="F686" s="758"/>
      <c r="G686" s="602"/>
      <c r="H686" s="164" t="s">
        <v>12</v>
      </c>
      <c r="I686" s="616"/>
      <c r="J686" s="616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185</v>
      </c>
      <c r="F687" s="758"/>
      <c r="G687" s="602"/>
      <c r="H687" s="164" t="s">
        <v>12</v>
      </c>
      <c r="I687" s="616"/>
      <c r="J687" s="616"/>
      <c r="K687" s="92"/>
      <c r="L687" s="92">
        <f t="shared" ca="1" si="97"/>
        <v>0</v>
      </c>
      <c r="M687" s="92">
        <f t="shared" si="97"/>
        <v>0</v>
      </c>
      <c r="N687" s="92">
        <f t="shared" si="97"/>
        <v>0</v>
      </c>
      <c r="O687" s="92">
        <f ca="1">IF(L687&gt;0,N687*100/L687,0)</f>
        <v>0</v>
      </c>
      <c r="P687" s="92">
        <f>IF(M687&gt;0,N687*100/M687,0)</f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8"/>
      <c r="H688" s="160" t="s">
        <v>12</v>
      </c>
      <c r="I688" s="183"/>
      <c r="J688" s="183"/>
      <c r="K688" s="162"/>
      <c r="L688" s="497">
        <f ca="1">L689+L690</f>
        <v>0</v>
      </c>
      <c r="M688" s="497">
        <f>M689+M690</f>
        <v>0</v>
      </c>
      <c r="N688" s="497">
        <f>N689+N690</f>
        <v>0</v>
      </c>
      <c r="O688" s="497">
        <f ca="1">IF(L688&gt;0,N688*100/L688,0)</f>
        <v>0</v>
      </c>
      <c r="P688" s="497">
        <f>IF(M688&gt;0,N688*100/M688,0)</f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184</v>
      </c>
      <c r="F689" s="758"/>
      <c r="G689" s="602"/>
      <c r="H689" s="164" t="s">
        <v>12</v>
      </c>
      <c r="I689" s="616"/>
      <c r="J689" s="616"/>
      <c r="K689" s="92"/>
      <c r="L689" s="92">
        <v>0</v>
      </c>
      <c r="M689" s="92">
        <v>0</v>
      </c>
      <c r="N689" s="92">
        <v>0</v>
      </c>
      <c r="O689" s="92"/>
      <c r="P689" s="92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185</v>
      </c>
      <c r="F690" s="758"/>
      <c r="G690" s="602"/>
      <c r="H690" s="164" t="s">
        <v>12</v>
      </c>
      <c r="I690" s="616"/>
      <c r="J690" s="616"/>
      <c r="K690" s="92"/>
      <c r="L690" s="92">
        <f ca="1">IFERROR(__xludf.DUMMYFUNCTION("IMPORTRANGE(""https://docs.google.com/spreadsheets/d/1QqKyyYR6Q21VydFLVH3TRQUabQu_ym0Zz7PgGX0-kHA/edit?usp=sharing"",""แผน!HW87"")"),0)</f>
        <v>0</v>
      </c>
      <c r="M690" s="92">
        <v>0</v>
      </c>
      <c r="N690" s="92">
        <f>N691+N692+N693+N694</f>
        <v>0</v>
      </c>
      <c r="O690" s="92">
        <f ca="1">IF(L690&gt;0,N690*100/L690,0)</f>
        <v>0</v>
      </c>
      <c r="P690" s="92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826">
        <v>0</v>
      </c>
      <c r="O691" s="497"/>
      <c r="P691" s="497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826">
        <v>0</v>
      </c>
      <c r="O692" s="497"/>
      <c r="P692" s="497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826">
        <v>0</v>
      </c>
      <c r="O693" s="497"/>
      <c r="P693" s="497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826">
        <v>0</v>
      </c>
      <c r="O694" s="497"/>
      <c r="P694" s="497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38" t="s">
        <v>38</v>
      </c>
      <c r="E698" s="760"/>
      <c r="F698" s="760"/>
      <c r="G698" s="612"/>
      <c r="H698" s="761"/>
      <c r="I698" s="183"/>
      <c r="J698" s="183"/>
      <c r="K698" s="162"/>
      <c r="L698" s="162"/>
      <c r="M698" s="162"/>
      <c r="N698" s="162"/>
      <c r="O698" s="162"/>
      <c r="P698" s="162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294</v>
      </c>
      <c r="E699" s="762"/>
      <c r="F699" s="762"/>
      <c r="G699" s="188"/>
      <c r="H699" s="763" t="s">
        <v>46</v>
      </c>
      <c r="I699" s="764">
        <f ca="1">IFERROR(__xludf.DUMMYFUNCTION("IMPORTRANGE(""https://docs.google.com/spreadsheets/d/1QqKyyYR6Q21VydFLVH3TRQUabQu_ym0Zz7PgGX0-kHA/edit?usp=sharing"",""แผน!IC87"")"),0)</f>
        <v>0</v>
      </c>
      <c r="J699" s="269">
        <f ca="1">IFERROR(__xludf.DUMMYFUNCTION("IMPORTRANGE(""https://docs.google.com/spreadsheets/d/1XWAQStnk-4SwqDmLtmXYiTMKHgktTP8We1SCoS47DrQ/edit?usp=sharing"",""จัดที่ดิน!BB87"")"),0)</f>
        <v>0</v>
      </c>
      <c r="K699" s="497">
        <f ca="1">IF(I699&gt;0,J699*100/I699,0)</f>
        <v>0</v>
      </c>
      <c r="L699" s="497"/>
      <c r="M699" s="188"/>
      <c r="N699" s="765"/>
      <c r="O699" s="497"/>
      <c r="P699" s="497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295</v>
      </c>
      <c r="E700" s="762"/>
      <c r="F700" s="762"/>
      <c r="G700" s="188"/>
      <c r="H700" s="763" t="s">
        <v>35</v>
      </c>
      <c r="I700" s="764">
        <f ca="1">IFERROR(__xludf.DUMMYFUNCTION("IMPORTRANGE(""https://docs.google.com/spreadsheets/d/1QqKyyYR6Q21VydFLVH3TRQUabQu_ym0Zz7PgGX0-kHA/edit?usp=sharing"",""แผน!ID87"")"),0)</f>
        <v>0</v>
      </c>
      <c r="J700" s="269">
        <f ca="1">IFERROR(__xludf.DUMMYFUNCTION("IMPORTRANGE(""https://docs.google.com/spreadsheets/d/1XWAQStnk-4SwqDmLtmXYiTMKHgktTP8We1SCoS47DrQ/edit?usp=sharing"",""จัดที่ดิน!BD87"")"),0)</f>
        <v>0</v>
      </c>
      <c r="K700" s="497">
        <f ca="1">IF(I700&gt;0,J700*100/I700,0)</f>
        <v>0</v>
      </c>
      <c r="L700" s="497"/>
      <c r="M700" s="188"/>
      <c r="N700" s="765"/>
      <c r="O700" s="497"/>
      <c r="P700" s="497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296</v>
      </c>
      <c r="E701" s="762"/>
      <c r="F701" s="762"/>
      <c r="G701" s="188"/>
      <c r="H701" s="766" t="s">
        <v>46</v>
      </c>
      <c r="I701" s="767">
        <f ca="1">IFERROR(__xludf.DUMMYFUNCTION("IMPORTRANGE(""https://docs.google.com/spreadsheets/d/1QqKyyYR6Q21VydFLVH3TRQUabQu_ym0Zz7PgGX0-kHA/edit?usp=sharing"",""แผน!IE87"")"),0)</f>
        <v>0</v>
      </c>
      <c r="J701" s="680">
        <f>J704+J707</f>
        <v>0</v>
      </c>
      <c r="K701" s="194">
        <f ca="1">IF(I701&gt;0,J701*100/I701,0)</f>
        <v>0</v>
      </c>
      <c r="L701" s="497"/>
      <c r="M701" s="188"/>
      <c r="N701" s="765"/>
      <c r="O701" s="497"/>
      <c r="P701" s="497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297</v>
      </c>
      <c r="F702" s="762"/>
      <c r="G702" s="188"/>
      <c r="H702" s="763" t="s">
        <v>35</v>
      </c>
      <c r="I702" s="764"/>
      <c r="J702" s="214">
        <v>0</v>
      </c>
      <c r="K702" s="497"/>
      <c r="L702" s="497"/>
      <c r="M702" s="188"/>
      <c r="N702" s="765"/>
      <c r="O702" s="497"/>
      <c r="P702" s="497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8"/>
      <c r="H703" s="763" t="s">
        <v>34</v>
      </c>
      <c r="I703" s="764"/>
      <c r="J703" s="214">
        <v>0</v>
      </c>
      <c r="K703" s="497"/>
      <c r="L703" s="497"/>
      <c r="M703" s="188"/>
      <c r="N703" s="765"/>
      <c r="O703" s="497"/>
      <c r="P703" s="497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8"/>
      <c r="H704" s="763" t="s">
        <v>46</v>
      </c>
      <c r="I704" s="764">
        <f ca="1">IFERROR(__xludf.DUMMYFUNCTION("IMPORTRANGE(""https://docs.google.com/spreadsheets/d/1QqKyyYR6Q21VydFLVH3TRQUabQu_ym0Zz7PgGX0-kHA/edit?usp=sharing"",""แผน!IF87"")"),0)</f>
        <v>0</v>
      </c>
      <c r="J704" s="214">
        <v>0</v>
      </c>
      <c r="K704" s="497"/>
      <c r="L704" s="497"/>
      <c r="M704" s="188"/>
      <c r="N704" s="765"/>
      <c r="O704" s="497"/>
      <c r="P704" s="497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298</v>
      </c>
      <c r="F705" s="762"/>
      <c r="G705" s="188"/>
      <c r="H705" s="763" t="s">
        <v>35</v>
      </c>
      <c r="I705" s="764"/>
      <c r="J705" s="214">
        <v>0</v>
      </c>
      <c r="K705" s="497"/>
      <c r="L705" s="497"/>
      <c r="M705" s="188"/>
      <c r="N705" s="765"/>
      <c r="O705" s="497"/>
      <c r="P705" s="497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8"/>
      <c r="H706" s="763" t="s">
        <v>34</v>
      </c>
      <c r="I706" s="764"/>
      <c r="J706" s="214">
        <v>0</v>
      </c>
      <c r="K706" s="497"/>
      <c r="L706" s="497"/>
      <c r="M706" s="188"/>
      <c r="N706" s="765"/>
      <c r="O706" s="497"/>
      <c r="P706" s="497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8"/>
      <c r="H707" s="763" t="s">
        <v>46</v>
      </c>
      <c r="I707" s="764">
        <f ca="1">IFERROR(__xludf.DUMMYFUNCTION("IMPORTRANGE(""https://docs.google.com/spreadsheets/d/1QqKyyYR6Q21VydFLVH3TRQUabQu_ym0Zz7PgGX0-kHA/edit?usp=sharing"",""แผน!IG87"")"),0)</f>
        <v>0</v>
      </c>
      <c r="J707" s="214">
        <v>0</v>
      </c>
      <c r="K707" s="497"/>
      <c r="L707" s="497"/>
      <c r="M707" s="188"/>
      <c r="N707" s="765"/>
      <c r="O707" s="497"/>
      <c r="P707" s="497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299</v>
      </c>
      <c r="E708" s="762"/>
      <c r="F708" s="762"/>
      <c r="G708" s="188"/>
      <c r="H708" s="766" t="s">
        <v>46</v>
      </c>
      <c r="I708" s="767">
        <f ca="1">IFERROR(__xludf.DUMMYFUNCTION("IMPORTRANGE(""https://docs.google.com/spreadsheets/d/1QqKyyYR6Q21VydFLVH3TRQUabQu_ym0Zz7PgGX0-kHA/edit?usp=sharing"",""แผน!IH87"")"),0)</f>
        <v>0</v>
      </c>
      <c r="J708" s="680">
        <f>J714+J717</f>
        <v>0</v>
      </c>
      <c r="K708" s="194">
        <f ca="1">IF(I708&gt;0,J708*100/I708,0)</f>
        <v>0</v>
      </c>
      <c r="L708" s="497"/>
      <c r="M708" s="188"/>
      <c r="N708" s="765"/>
      <c r="O708" s="497"/>
      <c r="P708" s="497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300</v>
      </c>
      <c r="F709" s="762"/>
      <c r="G709" s="188"/>
      <c r="H709" s="763" t="s">
        <v>34</v>
      </c>
      <c r="I709" s="764"/>
      <c r="J709" s="214">
        <v>0</v>
      </c>
      <c r="K709" s="497"/>
      <c r="L709" s="765"/>
      <c r="M709" s="188"/>
      <c r="N709" s="765"/>
      <c r="O709" s="497"/>
      <c r="P709" s="497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8"/>
      <c r="H710" s="763" t="s">
        <v>46</v>
      </c>
      <c r="I710" s="764"/>
      <c r="J710" s="214">
        <v>0</v>
      </c>
      <c r="K710" s="497"/>
      <c r="L710" s="765"/>
      <c r="M710" s="188"/>
      <c r="N710" s="765"/>
      <c r="O710" s="497"/>
      <c r="P710" s="497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301</v>
      </c>
      <c r="F711" s="762"/>
      <c r="G711" s="188"/>
      <c r="H711" s="761"/>
      <c r="I711" s="764"/>
      <c r="J711" s="269"/>
      <c r="K711" s="497"/>
      <c r="L711" s="765"/>
      <c r="M711" s="188"/>
      <c r="N711" s="765"/>
      <c r="O711" s="497"/>
      <c r="P711" s="497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302</v>
      </c>
      <c r="G712" s="188"/>
      <c r="H712" s="763" t="s">
        <v>35</v>
      </c>
      <c r="I712" s="764"/>
      <c r="J712" s="214">
        <v>0</v>
      </c>
      <c r="K712" s="497"/>
      <c r="L712" s="765"/>
      <c r="M712" s="188"/>
      <c r="N712" s="765"/>
      <c r="O712" s="497"/>
      <c r="P712" s="497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8"/>
      <c r="H713" s="763" t="s">
        <v>34</v>
      </c>
      <c r="I713" s="764"/>
      <c r="J713" s="214">
        <v>0</v>
      </c>
      <c r="K713" s="497"/>
      <c r="L713" s="765"/>
      <c r="M713" s="188"/>
      <c r="N713" s="765"/>
      <c r="O713" s="497"/>
      <c r="P713" s="497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8"/>
      <c r="H714" s="763" t="s">
        <v>46</v>
      </c>
      <c r="I714" s="764"/>
      <c r="J714" s="214">
        <v>0</v>
      </c>
      <c r="K714" s="497"/>
      <c r="L714" s="765"/>
      <c r="M714" s="188"/>
      <c r="N714" s="765"/>
      <c r="O714" s="497"/>
      <c r="P714" s="497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303</v>
      </c>
      <c r="G715" s="188"/>
      <c r="H715" s="763" t="s">
        <v>35</v>
      </c>
      <c r="I715" s="764"/>
      <c r="J715" s="214">
        <v>0</v>
      </c>
      <c r="K715" s="497"/>
      <c r="L715" s="765"/>
      <c r="M715" s="188"/>
      <c r="N715" s="765"/>
      <c r="O715" s="497"/>
      <c r="P715" s="497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8"/>
      <c r="H716" s="763" t="s">
        <v>34</v>
      </c>
      <c r="I716" s="764"/>
      <c r="J716" s="214">
        <v>0</v>
      </c>
      <c r="K716" s="497"/>
      <c r="L716" s="765"/>
      <c r="M716" s="188"/>
      <c r="N716" s="765"/>
      <c r="O716" s="497"/>
      <c r="P716" s="497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8"/>
      <c r="H717" s="763" t="s">
        <v>46</v>
      </c>
      <c r="I717" s="764"/>
      <c r="J717" s="214">
        <v>0</v>
      </c>
      <c r="K717" s="497"/>
      <c r="L717" s="765"/>
      <c r="M717" s="188"/>
      <c r="N717" s="765"/>
      <c r="O717" s="497"/>
      <c r="P717" s="497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304</v>
      </c>
      <c r="E718" s="762"/>
      <c r="F718" s="762"/>
      <c r="G718" s="188"/>
      <c r="H718" s="763" t="s">
        <v>35</v>
      </c>
      <c r="I718" s="764"/>
      <c r="J718" s="269">
        <f ca="1">IFERROR(__xludf.DUMMYFUNCTION("IMPORTRANGE(""https://docs.google.com/spreadsheets/d/1XWAQStnk-4SwqDmLtmXYiTMKHgktTP8We1SCoS47DrQ/edit?usp=sharing"",""จัดที่ดิน!BF87"")"),0)</f>
        <v>0</v>
      </c>
      <c r="K718" s="497"/>
      <c r="L718" s="497"/>
      <c r="M718" s="188"/>
      <c r="N718" s="765"/>
      <c r="O718" s="497"/>
      <c r="P718" s="497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8"/>
      <c r="H719" s="763" t="s">
        <v>34</v>
      </c>
      <c r="I719" s="764"/>
      <c r="J719" s="269">
        <f ca="1">IFERROR(__xludf.DUMMYFUNCTION("IMPORTRANGE(""https://docs.google.com/spreadsheets/d/1XWAQStnk-4SwqDmLtmXYiTMKHgktTP8We1SCoS47DrQ/edit?usp=sharing"",""จัดที่ดิน!BG87"")"),0)</f>
        <v>0</v>
      </c>
      <c r="K719" s="497"/>
      <c r="L719" s="765"/>
      <c r="M719" s="188"/>
      <c r="N719" s="765"/>
      <c r="O719" s="497"/>
      <c r="P719" s="497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8"/>
      <c r="H720" s="763" t="s">
        <v>46</v>
      </c>
      <c r="I720" s="764">
        <f ca="1">IFERROR(__xludf.DUMMYFUNCTION("IMPORTRANGE(""https://docs.google.com/spreadsheets/d/1QqKyyYR6Q21VydFLVH3TRQUabQu_ym0Zz7PgGX0-kHA/edit?usp=sharing"",""แผน!II87"")"),0)</f>
        <v>0</v>
      </c>
      <c r="J720" s="269">
        <f ca="1">IFERROR(__xludf.DUMMYFUNCTION("IMPORTRANGE(""https://docs.google.com/spreadsheets/d/1XWAQStnk-4SwqDmLtmXYiTMKHgktTP8We1SCoS47DrQ/edit?usp=sharing"",""จัดที่ดิน!BH87"")"),0)</f>
        <v>0</v>
      </c>
      <c r="K720" s="497">
        <f ca="1">IF(I720&gt;0,J720*100/I720,0)</f>
        <v>0</v>
      </c>
      <c r="L720" s="765"/>
      <c r="M720" s="188"/>
      <c r="N720" s="765"/>
      <c r="O720" s="497"/>
      <c r="P720" s="497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305</v>
      </c>
      <c r="E721" s="762"/>
      <c r="F721" s="762"/>
      <c r="G721" s="188"/>
      <c r="H721" s="766" t="s">
        <v>35</v>
      </c>
      <c r="I721" s="767">
        <f ca="1">IFERROR(__xludf.DUMMYFUNCTION("IMPORTRANGE(""https://docs.google.com/spreadsheets/d/1QqKyyYR6Q21VydFLVH3TRQUabQu_ym0Zz7PgGX0-kHA/edit?usp=sharing"",""แผน!IJ87"")"),0)</f>
        <v>0</v>
      </c>
      <c r="J721" s="680">
        <f ca="1">J723+J726</f>
        <v>0</v>
      </c>
      <c r="K721" s="194">
        <f ca="1">IF(I721&gt;0,J721*100/I721,0)</f>
        <v>0</v>
      </c>
      <c r="L721" s="765"/>
      <c r="M721" s="188"/>
      <c r="N721" s="765"/>
      <c r="O721" s="497"/>
      <c r="P721" s="497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8"/>
      <c r="H722" s="766" t="s">
        <v>46</v>
      </c>
      <c r="I722" s="767">
        <f ca="1">IFERROR(__xludf.DUMMYFUNCTION("IMPORTRANGE(""https://docs.google.com/spreadsheets/d/1QqKyyYR6Q21VydFLVH3TRQUabQu_ym0Zz7PgGX0-kHA/edit?usp=sharing"",""แผน!IK87"")"),0)</f>
        <v>0</v>
      </c>
      <c r="J722" s="680">
        <f ca="1">J725+J728</f>
        <v>0</v>
      </c>
      <c r="K722" s="194">
        <f ca="1">IF(I722&gt;0,J722*100/I722,0)</f>
        <v>0</v>
      </c>
      <c r="L722" s="497"/>
      <c r="M722" s="188"/>
      <c r="N722" s="765"/>
      <c r="O722" s="497"/>
      <c r="P722" s="497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306</v>
      </c>
      <c r="F723" s="762"/>
      <c r="G723" s="188"/>
      <c r="H723" s="763" t="s">
        <v>35</v>
      </c>
      <c r="I723" s="764">
        <f ca="1">IFERROR(__xludf.DUMMYFUNCTION("IMPORTRANGE(""https://docs.google.com/spreadsheets/d/1QqKyyYR6Q21VydFLVH3TRQUabQu_ym0Zz7PgGX0-kHA/edit?usp=sharing"",""แผน!IL87"")"),0)</f>
        <v>0</v>
      </c>
      <c r="J723" s="269">
        <f ca="1">IFERROR(__xludf.DUMMYFUNCTION("IMPORTRANGE(""https://docs.google.com/spreadsheets/d/1XWAQStnk-4SwqDmLtmXYiTMKHgktTP8We1SCoS47DrQ/edit?usp=sharing"",""จัดที่ดิน!BM87"")"),0)</f>
        <v>0</v>
      </c>
      <c r="K723" s="497">
        <f ca="1">IF(I723&gt;0,J723*100/I723,0)</f>
        <v>0</v>
      </c>
      <c r="L723" s="497"/>
      <c r="M723" s="188"/>
      <c r="N723" s="765"/>
      <c r="O723" s="497"/>
      <c r="P723" s="497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8"/>
      <c r="H724" s="763" t="s">
        <v>34</v>
      </c>
      <c r="I724" s="764"/>
      <c r="J724" s="269">
        <f ca="1">IFERROR(__xludf.DUMMYFUNCTION("IMPORTRANGE(""https://docs.google.com/spreadsheets/d/1XWAQStnk-4SwqDmLtmXYiTMKHgktTP8We1SCoS47DrQ/edit?usp=sharing"",""จัดที่ดิน!BN87"")"),0)</f>
        <v>0</v>
      </c>
      <c r="K724" s="497"/>
      <c r="L724" s="765"/>
      <c r="M724" s="188"/>
      <c r="N724" s="765"/>
      <c r="O724" s="497"/>
      <c r="P724" s="497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8"/>
      <c r="H725" s="763" t="s">
        <v>46</v>
      </c>
      <c r="I725" s="764">
        <f ca="1">IFERROR(__xludf.DUMMYFUNCTION("IMPORTRANGE(""https://docs.google.com/spreadsheets/d/1QqKyyYR6Q21VydFLVH3TRQUabQu_ym0Zz7PgGX0-kHA/edit?usp=sharing"",""แผน!IM87"")"),0)</f>
        <v>0</v>
      </c>
      <c r="J725" s="269">
        <f ca="1">IFERROR(__xludf.DUMMYFUNCTION("IMPORTRANGE(""https://docs.google.com/spreadsheets/d/1XWAQStnk-4SwqDmLtmXYiTMKHgktTP8We1SCoS47DrQ/edit?usp=sharing"",""จัดที่ดิน!BO87"")"),0)</f>
        <v>0</v>
      </c>
      <c r="K725" s="497">
        <f ca="1">IF(I725&gt;0,J725*100/I725,0)</f>
        <v>0</v>
      </c>
      <c r="L725" s="765"/>
      <c r="M725" s="188"/>
      <c r="N725" s="765"/>
      <c r="O725" s="497"/>
      <c r="P725" s="497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307</v>
      </c>
      <c r="F726" s="762"/>
      <c r="G726" s="188"/>
      <c r="H726" s="763" t="s">
        <v>35</v>
      </c>
      <c r="I726" s="764">
        <f ca="1">IFERROR(__xludf.DUMMYFUNCTION("IMPORTRANGE(""https://docs.google.com/spreadsheets/d/1QqKyyYR6Q21VydFLVH3TRQUabQu_ym0Zz7PgGX0-kHA/edit?usp=sharing"",""แผน!IN87"")"),0)</f>
        <v>0</v>
      </c>
      <c r="J726" s="269">
        <f ca="1">IFERROR(__xludf.DUMMYFUNCTION("IMPORTRANGE(""https://docs.google.com/spreadsheets/d/1XWAQStnk-4SwqDmLtmXYiTMKHgktTP8We1SCoS47DrQ/edit?usp=sharing"",""จัดที่ดิน!BR87"")"),0)</f>
        <v>0</v>
      </c>
      <c r="K726" s="497">
        <f ca="1">IF(I726&gt;0,J726*100/I726,0)</f>
        <v>0</v>
      </c>
      <c r="L726" s="497"/>
      <c r="M726" s="188"/>
      <c r="N726" s="765"/>
      <c r="O726" s="497"/>
      <c r="P726" s="497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8"/>
      <c r="H727" s="763" t="s">
        <v>34</v>
      </c>
      <c r="I727" s="764"/>
      <c r="J727" s="269">
        <f ca="1">IFERROR(__xludf.DUMMYFUNCTION("IMPORTRANGE(""https://docs.google.com/spreadsheets/d/1XWAQStnk-4SwqDmLtmXYiTMKHgktTP8We1SCoS47DrQ/edit?usp=sharing"",""จัดที่ดิน!BS87"")"),0)</f>
        <v>0</v>
      </c>
      <c r="K727" s="497"/>
      <c r="L727" s="765"/>
      <c r="M727" s="188"/>
      <c r="N727" s="765"/>
      <c r="O727" s="497"/>
      <c r="P727" s="497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8"/>
      <c r="H728" s="763" t="s">
        <v>46</v>
      </c>
      <c r="I728" s="764">
        <f ca="1">IFERROR(__xludf.DUMMYFUNCTION("IMPORTRANGE(""https://docs.google.com/spreadsheets/d/1QqKyyYR6Q21VydFLVH3TRQUabQu_ym0Zz7PgGX0-kHA/edit?usp=sharing"",""แผน!IO87"")"),0)</f>
        <v>0</v>
      </c>
      <c r="J728" s="269">
        <f ca="1">IFERROR(__xludf.DUMMYFUNCTION("IMPORTRANGE(""https://docs.google.com/spreadsheets/d/1XWAQStnk-4SwqDmLtmXYiTMKHgktTP8We1SCoS47DrQ/edit?usp=sharing"",""จัดที่ดิน!BT87"")"),0)</f>
        <v>0</v>
      </c>
      <c r="K728" s="497">
        <f ca="1">IF(I728&gt;0,J728*100/I728,0)</f>
        <v>0</v>
      </c>
      <c r="L728" s="765"/>
      <c r="M728" s="188"/>
      <c r="N728" s="765"/>
      <c r="O728" s="497"/>
      <c r="P728" s="497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308</v>
      </c>
      <c r="E729" s="762"/>
      <c r="F729" s="762"/>
      <c r="G729" s="188"/>
      <c r="H729" s="766" t="s">
        <v>46</v>
      </c>
      <c r="I729" s="767">
        <f ca="1">IFERROR(__xludf.DUMMYFUNCTION("IMPORTRANGE(""https://docs.google.com/spreadsheets/d/1QqKyyYR6Q21VydFLVH3TRQUabQu_ym0Zz7PgGX0-kHA/edit?usp=sharing"",""แผน!IP87"")"),0)</f>
        <v>0</v>
      </c>
      <c r="J729" s="680">
        <f>J732+J735</f>
        <v>0</v>
      </c>
      <c r="K729" s="194">
        <f ca="1">IF(I729&gt;0,J729*100/I729,0)</f>
        <v>0</v>
      </c>
      <c r="L729" s="497"/>
      <c r="M729" s="188"/>
      <c r="N729" s="765"/>
      <c r="O729" s="497"/>
      <c r="P729" s="497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309</v>
      </c>
      <c r="F730" s="762"/>
      <c r="G730" s="188"/>
      <c r="H730" s="763" t="s">
        <v>35</v>
      </c>
      <c r="I730" s="764"/>
      <c r="J730" s="214">
        <v>0</v>
      </c>
      <c r="K730" s="497"/>
      <c r="L730" s="765"/>
      <c r="M730" s="497"/>
      <c r="N730" s="765"/>
      <c r="O730" s="497"/>
      <c r="P730" s="497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8"/>
      <c r="H731" s="763" t="s">
        <v>34</v>
      </c>
      <c r="I731" s="764"/>
      <c r="J731" s="214">
        <v>0</v>
      </c>
      <c r="K731" s="497"/>
      <c r="L731" s="765"/>
      <c r="M731" s="497"/>
      <c r="N731" s="765"/>
      <c r="O731" s="497"/>
      <c r="P731" s="497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8"/>
      <c r="H732" s="763" t="s">
        <v>46</v>
      </c>
      <c r="I732" s="764"/>
      <c r="J732" s="214">
        <v>0</v>
      </c>
      <c r="K732" s="497"/>
      <c r="L732" s="765"/>
      <c r="M732" s="497"/>
      <c r="N732" s="765"/>
      <c r="O732" s="497"/>
      <c r="P732" s="497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310</v>
      </c>
      <c r="F733" s="762"/>
      <c r="G733" s="188"/>
      <c r="H733" s="763" t="s">
        <v>35</v>
      </c>
      <c r="I733" s="764"/>
      <c r="J733" s="214">
        <v>0</v>
      </c>
      <c r="K733" s="497"/>
      <c r="L733" s="765"/>
      <c r="M733" s="497"/>
      <c r="N733" s="765"/>
      <c r="O733" s="497"/>
      <c r="P733" s="497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8"/>
      <c r="H734" s="763" t="s">
        <v>34</v>
      </c>
      <c r="I734" s="764"/>
      <c r="J734" s="214">
        <v>0</v>
      </c>
      <c r="K734" s="497"/>
      <c r="L734" s="765"/>
      <c r="M734" s="497"/>
      <c r="N734" s="765"/>
      <c r="O734" s="497"/>
      <c r="P734" s="497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311</v>
      </c>
      <c r="C735" s="733"/>
      <c r="D735" s="733"/>
      <c r="E735" s="733"/>
      <c r="F735" s="733"/>
      <c r="G735" s="734"/>
      <c r="H735" s="422" t="s">
        <v>46</v>
      </c>
      <c r="I735" s="771"/>
      <c r="J735" s="424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312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92" t="s">
        <v>17</v>
      </c>
      <c r="E737" s="888"/>
      <c r="F737" s="888"/>
      <c r="G737" s="602"/>
      <c r="H737" s="645" t="s">
        <v>12</v>
      </c>
      <c r="I737" s="616"/>
      <c r="J737" s="616"/>
      <c r="K737" s="92"/>
      <c r="L737" s="646">
        <f>L738+L739</f>
        <v>0</v>
      </c>
      <c r="M737" s="646">
        <f>M738+M739</f>
        <v>0</v>
      </c>
      <c r="N737" s="646">
        <f>N738+N739</f>
        <v>0</v>
      </c>
      <c r="O737" s="646">
        <f t="shared" ref="O737:O742" si="98">IF(L737&gt;0,N737*100/L737,0)</f>
        <v>0</v>
      </c>
      <c r="P737" s="646">
        <f t="shared" ref="P737:P742" si="99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184</v>
      </c>
      <c r="F738" s="758"/>
      <c r="G738" s="602"/>
      <c r="H738" s="164" t="s">
        <v>12</v>
      </c>
      <c r="I738" s="616"/>
      <c r="J738" s="616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185</v>
      </c>
      <c r="F739" s="758"/>
      <c r="G739" s="602"/>
      <c r="H739" s="164" t="s">
        <v>12</v>
      </c>
      <c r="I739" s="616"/>
      <c r="J739" s="616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5"/>
      <c r="J740" s="165"/>
      <c r="K740" s="166"/>
      <c r="L740" s="646">
        <f>L741+L742</f>
        <v>0</v>
      </c>
      <c r="M740" s="646">
        <f>M741+M742</f>
        <v>0</v>
      </c>
      <c r="N740" s="646">
        <f>N741+N742</f>
        <v>0</v>
      </c>
      <c r="O740" s="646">
        <f t="shared" si="98"/>
        <v>0</v>
      </c>
      <c r="P740" s="646">
        <f t="shared" si="99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184</v>
      </c>
      <c r="F741" s="758"/>
      <c r="G741" s="602"/>
      <c r="H741" s="164" t="s">
        <v>12</v>
      </c>
      <c r="I741" s="616"/>
      <c r="J741" s="616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185</v>
      </c>
      <c r="F742" s="758"/>
      <c r="G742" s="602"/>
      <c r="H742" s="164" t="s">
        <v>12</v>
      </c>
      <c r="I742" s="616"/>
      <c r="J742" s="616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186</v>
      </c>
      <c r="G743" s="602"/>
      <c r="H743" s="164" t="s">
        <v>12</v>
      </c>
      <c r="I743" s="616"/>
      <c r="J743" s="616"/>
      <c r="K743" s="92"/>
      <c r="L743" s="92"/>
      <c r="M743" s="92"/>
      <c r="N743" s="92"/>
      <c r="O743" s="92"/>
      <c r="P743" s="92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187</v>
      </c>
      <c r="G744" s="602"/>
      <c r="H744" s="164" t="s">
        <v>12</v>
      </c>
      <c r="I744" s="616"/>
      <c r="J744" s="616"/>
      <c r="K744" s="92"/>
      <c r="L744" s="92"/>
      <c r="M744" s="92"/>
      <c r="N744" s="92"/>
      <c r="O744" s="92"/>
      <c r="P744" s="92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188</v>
      </c>
      <c r="G745" s="602"/>
      <c r="H745" s="164" t="s">
        <v>12</v>
      </c>
      <c r="I745" s="616"/>
      <c r="J745" s="616"/>
      <c r="K745" s="92"/>
      <c r="L745" s="92"/>
      <c r="M745" s="92"/>
      <c r="N745" s="92"/>
      <c r="O745" s="92"/>
      <c r="P745" s="92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189</v>
      </c>
      <c r="G746" s="602"/>
      <c r="H746" s="164" t="s">
        <v>12</v>
      </c>
      <c r="I746" s="616"/>
      <c r="J746" s="616"/>
      <c r="K746" s="92"/>
      <c r="L746" s="92"/>
      <c r="M746" s="92"/>
      <c r="N746" s="92"/>
      <c r="O746" s="92"/>
      <c r="P746" s="92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5"/>
      <c r="J747" s="165"/>
      <c r="K747" s="166"/>
      <c r="L747" s="646">
        <f>L748+L749</f>
        <v>0</v>
      </c>
      <c r="M747" s="646">
        <f>M748+M749</f>
        <v>0</v>
      </c>
      <c r="N747" s="646">
        <f>N748+N749</f>
        <v>0</v>
      </c>
      <c r="O747" s="646">
        <f>IF(L747&gt;0,N747*100/L747,0)</f>
        <v>0</v>
      </c>
      <c r="P747" s="646">
        <f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39" t="s">
        <v>38</v>
      </c>
      <c r="E750" s="650"/>
      <c r="F750" s="650"/>
      <c r="G750" s="651"/>
      <c r="H750" s="365"/>
      <c r="I750" s="165"/>
      <c r="J750" s="165"/>
      <c r="K750" s="166"/>
      <c r="L750" s="166"/>
      <c r="M750" s="166"/>
      <c r="N750" s="166"/>
      <c r="O750" s="166"/>
      <c r="P750" s="166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313</v>
      </c>
      <c r="F751" s="758"/>
      <c r="G751" s="602"/>
      <c r="H751" s="164" t="s">
        <v>46</v>
      </c>
      <c r="I751" s="616"/>
      <c r="J751" s="616"/>
      <c r="K751" s="92"/>
      <c r="L751" s="92"/>
      <c r="M751" s="92"/>
      <c r="N751" s="92"/>
      <c r="O751" s="92"/>
      <c r="P751" s="92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4" t="s">
        <v>314</v>
      </c>
      <c r="I752" s="616"/>
      <c r="J752" s="616"/>
      <c r="K752" s="92"/>
      <c r="L752" s="92"/>
      <c r="M752" s="92"/>
      <c r="N752" s="92"/>
      <c r="O752" s="92"/>
      <c r="P752" s="92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315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92" t="s">
        <v>17</v>
      </c>
      <c r="E754" s="888"/>
      <c r="F754" s="888"/>
      <c r="G754" s="602"/>
      <c r="H754" s="645" t="s">
        <v>12</v>
      </c>
      <c r="I754" s="616"/>
      <c r="J754" s="616"/>
      <c r="K754" s="92"/>
      <c r="L754" s="646">
        <f>L755+L756</f>
        <v>0</v>
      </c>
      <c r="M754" s="646">
        <f>M755+M756</f>
        <v>0</v>
      </c>
      <c r="N754" s="646">
        <f>N755+N756</f>
        <v>0</v>
      </c>
      <c r="O754" s="646">
        <f t="shared" ref="O754:O759" si="101">IF(L754&gt;0,N754*100/L754,0)</f>
        <v>0</v>
      </c>
      <c r="P754" s="646">
        <f t="shared" ref="P754:P759" si="102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184</v>
      </c>
      <c r="F755" s="758"/>
      <c r="G755" s="602"/>
      <c r="H755" s="164" t="s">
        <v>12</v>
      </c>
      <c r="I755" s="616"/>
      <c r="J755" s="616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185</v>
      </c>
      <c r="F756" s="758"/>
      <c r="G756" s="602"/>
      <c r="H756" s="164" t="s">
        <v>12</v>
      </c>
      <c r="I756" s="616"/>
      <c r="J756" s="616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5"/>
      <c r="J757" s="165"/>
      <c r="K757" s="166"/>
      <c r="L757" s="646">
        <f>L758+L759</f>
        <v>0</v>
      </c>
      <c r="M757" s="646">
        <f>M758+M759</f>
        <v>0</v>
      </c>
      <c r="N757" s="646">
        <f>N758+N759</f>
        <v>0</v>
      </c>
      <c r="O757" s="646">
        <f t="shared" si="101"/>
        <v>0</v>
      </c>
      <c r="P757" s="646">
        <f t="shared" si="102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184</v>
      </c>
      <c r="F758" s="758"/>
      <c r="G758" s="602"/>
      <c r="H758" s="164" t="s">
        <v>12</v>
      </c>
      <c r="I758" s="616"/>
      <c r="J758" s="616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185</v>
      </c>
      <c r="F759" s="758"/>
      <c r="G759" s="602"/>
      <c r="H759" s="164" t="s">
        <v>12</v>
      </c>
      <c r="I759" s="616"/>
      <c r="J759" s="616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186</v>
      </c>
      <c r="G760" s="602"/>
      <c r="H760" s="164" t="s">
        <v>12</v>
      </c>
      <c r="I760" s="616"/>
      <c r="J760" s="616"/>
      <c r="K760" s="92"/>
      <c r="L760" s="92"/>
      <c r="M760" s="92"/>
      <c r="N760" s="92"/>
      <c r="O760" s="92"/>
      <c r="P760" s="92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187</v>
      </c>
      <c r="G761" s="602"/>
      <c r="H761" s="164" t="s">
        <v>12</v>
      </c>
      <c r="I761" s="616"/>
      <c r="J761" s="616"/>
      <c r="K761" s="92"/>
      <c r="L761" s="92"/>
      <c r="M761" s="92"/>
      <c r="N761" s="92"/>
      <c r="O761" s="92"/>
      <c r="P761" s="92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188</v>
      </c>
      <c r="G762" s="602"/>
      <c r="H762" s="164" t="s">
        <v>12</v>
      </c>
      <c r="I762" s="616"/>
      <c r="J762" s="616"/>
      <c r="K762" s="92"/>
      <c r="L762" s="92"/>
      <c r="M762" s="92"/>
      <c r="N762" s="92"/>
      <c r="O762" s="92"/>
      <c r="P762" s="92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189</v>
      </c>
      <c r="G763" s="602"/>
      <c r="H763" s="164" t="s">
        <v>12</v>
      </c>
      <c r="I763" s="616"/>
      <c r="J763" s="616"/>
      <c r="K763" s="92"/>
      <c r="L763" s="92"/>
      <c r="M763" s="92"/>
      <c r="N763" s="92"/>
      <c r="O763" s="92"/>
      <c r="P763" s="92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5"/>
      <c r="J764" s="165"/>
      <c r="K764" s="166"/>
      <c r="L764" s="646">
        <f>L765+L766</f>
        <v>0</v>
      </c>
      <c r="M764" s="646">
        <f>M765+M766</f>
        <v>0</v>
      </c>
      <c r="N764" s="646">
        <f>N765+N766</f>
        <v>0</v>
      </c>
      <c r="O764" s="646">
        <f>IF(L764&gt;0,N764*100/L764,0)</f>
        <v>0</v>
      </c>
      <c r="P764" s="646">
        <f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39" t="s">
        <v>38</v>
      </c>
      <c r="E767" s="650"/>
      <c r="F767" s="650"/>
      <c r="G767" s="651"/>
      <c r="H767" s="365"/>
      <c r="I767" s="165"/>
      <c r="J767" s="165"/>
      <c r="K767" s="166"/>
      <c r="L767" s="166"/>
      <c r="M767" s="166"/>
      <c r="N767" s="166"/>
      <c r="O767" s="166"/>
      <c r="P767" s="166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316</v>
      </c>
      <c r="F768" s="758"/>
      <c r="G768" s="602"/>
      <c r="H768" s="164" t="s">
        <v>46</v>
      </c>
      <c r="I768" s="616"/>
      <c r="J768" s="616"/>
      <c r="K768" s="92"/>
      <c r="L768" s="92"/>
      <c r="M768" s="92"/>
      <c r="N768" s="92"/>
      <c r="O768" s="92"/>
      <c r="P768" s="92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317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92" t="s">
        <v>17</v>
      </c>
      <c r="E770" s="888"/>
      <c r="F770" s="888"/>
      <c r="G770" s="602"/>
      <c r="H770" s="645" t="s">
        <v>12</v>
      </c>
      <c r="I770" s="616"/>
      <c r="J770" s="616"/>
      <c r="K770" s="92"/>
      <c r="L770" s="646">
        <f>L771+L772</f>
        <v>0</v>
      </c>
      <c r="M770" s="646">
        <f>M771+M772</f>
        <v>0</v>
      </c>
      <c r="N770" s="646">
        <f>N771+N772</f>
        <v>0</v>
      </c>
      <c r="O770" s="646">
        <f t="shared" ref="O770:O775" si="104">IF(L770&gt;0,N770*100/L770,0)</f>
        <v>0</v>
      </c>
      <c r="P770" s="646">
        <f t="shared" ref="P770:P775" si="105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184</v>
      </c>
      <c r="F771" s="758"/>
      <c r="G771" s="602"/>
      <c r="H771" s="164" t="s">
        <v>12</v>
      </c>
      <c r="I771" s="616"/>
      <c r="J771" s="616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185</v>
      </c>
      <c r="F772" s="758"/>
      <c r="G772" s="602"/>
      <c r="H772" s="164" t="s">
        <v>12</v>
      </c>
      <c r="I772" s="616"/>
      <c r="J772" s="616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5"/>
      <c r="J773" s="165"/>
      <c r="K773" s="166"/>
      <c r="L773" s="646">
        <f>L774+L775</f>
        <v>0</v>
      </c>
      <c r="M773" s="646">
        <f>M774+M775</f>
        <v>0</v>
      </c>
      <c r="N773" s="646">
        <f>N774+N775</f>
        <v>0</v>
      </c>
      <c r="O773" s="646">
        <f t="shared" si="104"/>
        <v>0</v>
      </c>
      <c r="P773" s="646">
        <f t="shared" si="105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184</v>
      </c>
      <c r="F774" s="758"/>
      <c r="G774" s="602"/>
      <c r="H774" s="164" t="s">
        <v>12</v>
      </c>
      <c r="I774" s="616"/>
      <c r="J774" s="616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185</v>
      </c>
      <c r="F775" s="758"/>
      <c r="G775" s="602"/>
      <c r="H775" s="164" t="s">
        <v>12</v>
      </c>
      <c r="I775" s="616"/>
      <c r="J775" s="616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186</v>
      </c>
      <c r="G776" s="602"/>
      <c r="H776" s="164" t="s">
        <v>12</v>
      </c>
      <c r="I776" s="616"/>
      <c r="J776" s="616"/>
      <c r="K776" s="92"/>
      <c r="L776" s="92"/>
      <c r="M776" s="92"/>
      <c r="N776" s="92"/>
      <c r="O776" s="92"/>
      <c r="P776" s="92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187</v>
      </c>
      <c r="G777" s="602"/>
      <c r="H777" s="164" t="s">
        <v>12</v>
      </c>
      <c r="I777" s="616"/>
      <c r="J777" s="616"/>
      <c r="K777" s="92"/>
      <c r="L777" s="92"/>
      <c r="M777" s="92"/>
      <c r="N777" s="92"/>
      <c r="O777" s="92"/>
      <c r="P777" s="92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188</v>
      </c>
      <c r="G778" s="602"/>
      <c r="H778" s="164" t="s">
        <v>12</v>
      </c>
      <c r="I778" s="616"/>
      <c r="J778" s="616"/>
      <c r="K778" s="92"/>
      <c r="L778" s="92"/>
      <c r="M778" s="92"/>
      <c r="N778" s="92"/>
      <c r="O778" s="92"/>
      <c r="P778" s="92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189</v>
      </c>
      <c r="G779" s="602"/>
      <c r="H779" s="164" t="s">
        <v>12</v>
      </c>
      <c r="I779" s="616"/>
      <c r="J779" s="616"/>
      <c r="K779" s="92"/>
      <c r="L779" s="92"/>
      <c r="M779" s="92"/>
      <c r="N779" s="92"/>
      <c r="O779" s="92"/>
      <c r="P779" s="92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5"/>
      <c r="J780" s="165"/>
      <c r="K780" s="166"/>
      <c r="L780" s="646">
        <f>L781+L782</f>
        <v>0</v>
      </c>
      <c r="M780" s="646">
        <f>M781+M782</f>
        <v>0</v>
      </c>
      <c r="N780" s="646">
        <f>N781+N782</f>
        <v>0</v>
      </c>
      <c r="O780" s="646">
        <f>IF(L780&gt;0,N780*100/L780,0)</f>
        <v>0</v>
      </c>
      <c r="P780" s="646">
        <f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39" t="s">
        <v>38</v>
      </c>
      <c r="E783" s="650"/>
      <c r="F783" s="650"/>
      <c r="G783" s="651"/>
      <c r="H783" s="800"/>
      <c r="I783" s="165"/>
      <c r="J783" s="165"/>
      <c r="K783" s="166"/>
      <c r="L783" s="166"/>
      <c r="M783" s="166"/>
      <c r="N783" s="166"/>
      <c r="O783" s="166"/>
      <c r="P783" s="166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318</v>
      </c>
      <c r="F784" s="758"/>
      <c r="G784" s="602"/>
      <c r="H784" s="164" t="s">
        <v>46</v>
      </c>
      <c r="I784" s="616"/>
      <c r="J784" s="616"/>
      <c r="K784" s="92"/>
      <c r="L784" s="92"/>
      <c r="M784" s="92"/>
      <c r="N784" s="92"/>
      <c r="O784" s="92"/>
      <c r="P784" s="92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319</v>
      </c>
      <c r="C785" s="803"/>
      <c r="D785" s="803"/>
      <c r="E785" s="803"/>
      <c r="F785" s="803"/>
      <c r="G785" s="804"/>
      <c r="H785" s="805" t="s">
        <v>46</v>
      </c>
      <c r="I785" s="806">
        <f ca="1">I800</f>
        <v>0</v>
      </c>
      <c r="J785" s="807">
        <f ca="1">J800</f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87" t="s">
        <v>17</v>
      </c>
      <c r="E786" s="888"/>
      <c r="F786" s="888"/>
      <c r="G786" s="188"/>
      <c r="H786" s="597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184</v>
      </c>
      <c r="F787" s="758"/>
      <c r="G787" s="602"/>
      <c r="H787" s="164" t="s">
        <v>12</v>
      </c>
      <c r="I787" s="616"/>
      <c r="J787" s="616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185</v>
      </c>
      <c r="F788" s="758"/>
      <c r="G788" s="602"/>
      <c r="H788" s="164" t="s">
        <v>12</v>
      </c>
      <c r="I788" s="616"/>
      <c r="J788" s="616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184</v>
      </c>
      <c r="F790" s="758"/>
      <c r="G790" s="602"/>
      <c r="H790" s="164" t="s">
        <v>12</v>
      </c>
      <c r="I790" s="616"/>
      <c r="J790" s="616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185</v>
      </c>
      <c r="F791" s="758"/>
      <c r="G791" s="602"/>
      <c r="H791" s="164" t="s">
        <v>12</v>
      </c>
      <c r="I791" s="616"/>
      <c r="J791" s="616"/>
      <c r="K791" s="92"/>
      <c r="L791" s="92">
        <f ca="1">IFERROR(__xludf.DUMMYFUNCTION("IMPORTRANGE(""https://docs.google.com/spreadsheets/d/1QqKyyYR6Q21VydFLVH3TRQUabQu_ym0Zz7PgGX0-kHA/edit?usp=sharing"",""แผน!JJ87"")"),0)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826">
        <v>0</v>
      </c>
      <c r="O792" s="497"/>
      <c r="P792" s="497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826">
        <v>0</v>
      </c>
      <c r="O793" s="497"/>
      <c r="P793" s="497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826">
        <v>0</v>
      </c>
      <c r="O794" s="497"/>
      <c r="P794" s="497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826">
        <v>0</v>
      </c>
      <c r="O795" s="497"/>
      <c r="P795" s="497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38" t="s">
        <v>38</v>
      </c>
      <c r="E799" s="760"/>
      <c r="F799" s="760"/>
      <c r="G799" s="612"/>
      <c r="H799" s="810"/>
      <c r="I799" s="183"/>
      <c r="J799" s="183"/>
      <c r="K799" s="162"/>
      <c r="L799" s="162"/>
      <c r="M799" s="162"/>
      <c r="N799" s="162"/>
      <c r="O799" s="162"/>
      <c r="P799" s="162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320</v>
      </c>
      <c r="G800" s="761"/>
      <c r="H800" s="184" t="s">
        <v>46</v>
      </c>
      <c r="I800" s="183">
        <f ca="1">IFERROR(__xludf.DUMMYFUNCTION("IMPORTRANGE(""https://docs.google.com/spreadsheets/d/1QqKyyYR6Q21VydFLVH3TRQUabQu_ym0Zz7PgGX0-kHA/edit?usp=sharing"",""แผน!JN87"")"),0)</f>
        <v>0</v>
      </c>
      <c r="J800" s="183">
        <f ca="1">IFERROR(__xludf.DUMMYFUNCTION("IMPORTRANGE(""https://docs.google.com/spreadsheets/d/1MaWodYyGHDf7siQLGxnXhG4mBNTNIuy296niS2xXulU/edit?usp=sharing"",""RTK!H87"")"),0)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IFERROR(__xludf.DUMMYFUNCTION("IMPORTRANGE(""https://docs.google.com/spreadsheets/d/1MaWodYyGHDf7siQLGxnXhG4mBNTNIuy296niS2xXulU/edit?usp=sharing"",""RTK!I87"")"),0)</f>
        <v>0</v>
      </c>
      <c r="K801" s="497"/>
      <c r="L801" s="497"/>
      <c r="M801" s="497"/>
      <c r="N801" s="497"/>
      <c r="O801" s="162"/>
      <c r="P801" s="162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321</v>
      </c>
      <c r="G802" s="365"/>
      <c r="H802" s="652" t="s">
        <v>46</v>
      </c>
      <c r="I802" s="165"/>
      <c r="J802" s="616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5"/>
      <c r="H803" s="652" t="s">
        <v>34</v>
      </c>
      <c r="I803" s="165"/>
      <c r="J803" s="616">
        <v>0</v>
      </c>
      <c r="K803" s="166"/>
      <c r="L803" s="166"/>
      <c r="M803" s="166"/>
      <c r="N803" s="166"/>
      <c r="O803" s="166"/>
      <c r="P803" s="166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322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92" t="s">
        <v>17</v>
      </c>
      <c r="E805" s="888"/>
      <c r="F805" s="888"/>
      <c r="G805" s="602"/>
      <c r="H805" s="645" t="s">
        <v>12</v>
      </c>
      <c r="I805" s="616"/>
      <c r="J805" s="616"/>
      <c r="K805" s="92"/>
      <c r="L805" s="646">
        <f>L806+L807</f>
        <v>0</v>
      </c>
      <c r="M805" s="646">
        <f>M806+M807</f>
        <v>0</v>
      </c>
      <c r="N805" s="646">
        <f>N806+N807</f>
        <v>0</v>
      </c>
      <c r="O805" s="646">
        <f t="shared" ref="O805:O810" si="110">IF(L805&gt;0,N805*100/L805,0)</f>
        <v>0</v>
      </c>
      <c r="P805" s="646">
        <f t="shared" ref="P805:P810" si="111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184</v>
      </c>
      <c r="F806" s="758"/>
      <c r="G806" s="602"/>
      <c r="H806" s="164" t="s">
        <v>12</v>
      </c>
      <c r="I806" s="616"/>
      <c r="J806" s="616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185</v>
      </c>
      <c r="F807" s="758"/>
      <c r="G807" s="602"/>
      <c r="H807" s="164" t="s">
        <v>12</v>
      </c>
      <c r="I807" s="616"/>
      <c r="J807" s="616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912" t="s">
        <v>20</v>
      </c>
      <c r="E808" s="888"/>
      <c r="F808" s="888"/>
      <c r="G808" s="602"/>
      <c r="H808" s="645" t="s">
        <v>12</v>
      </c>
      <c r="I808" s="165"/>
      <c r="J808" s="165"/>
      <c r="K808" s="166"/>
      <c r="L808" s="646">
        <f>L809+L810</f>
        <v>0</v>
      </c>
      <c r="M808" s="646">
        <f>M809+M810</f>
        <v>0</v>
      </c>
      <c r="N808" s="646">
        <f>N809+N810</f>
        <v>0</v>
      </c>
      <c r="O808" s="646">
        <f t="shared" si="110"/>
        <v>0</v>
      </c>
      <c r="P808" s="646">
        <f t="shared" si="111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184</v>
      </c>
      <c r="F809" s="758"/>
      <c r="G809" s="602"/>
      <c r="H809" s="164" t="s">
        <v>12</v>
      </c>
      <c r="I809" s="616"/>
      <c r="J809" s="616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185</v>
      </c>
      <c r="F810" s="758"/>
      <c r="G810" s="602"/>
      <c r="H810" s="164" t="s">
        <v>12</v>
      </c>
      <c r="I810" s="616"/>
      <c r="J810" s="616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186</v>
      </c>
      <c r="G811" s="602"/>
      <c r="H811" s="164" t="s">
        <v>12</v>
      </c>
      <c r="I811" s="616"/>
      <c r="J811" s="616"/>
      <c r="K811" s="92"/>
      <c r="L811" s="92"/>
      <c r="M811" s="92"/>
      <c r="N811" s="92"/>
      <c r="O811" s="92"/>
      <c r="P811" s="92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187</v>
      </c>
      <c r="G812" s="602"/>
      <c r="H812" s="164" t="s">
        <v>12</v>
      </c>
      <c r="I812" s="616"/>
      <c r="J812" s="616"/>
      <c r="K812" s="92"/>
      <c r="L812" s="92"/>
      <c r="M812" s="92"/>
      <c r="N812" s="92"/>
      <c r="O812" s="92"/>
      <c r="P812" s="92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188</v>
      </c>
      <c r="G813" s="602"/>
      <c r="H813" s="164" t="s">
        <v>12</v>
      </c>
      <c r="I813" s="616"/>
      <c r="J813" s="616"/>
      <c r="K813" s="92"/>
      <c r="L813" s="92"/>
      <c r="M813" s="92"/>
      <c r="N813" s="92"/>
      <c r="O813" s="92"/>
      <c r="P813" s="92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189</v>
      </c>
      <c r="G814" s="602"/>
      <c r="H814" s="164" t="s">
        <v>12</v>
      </c>
      <c r="I814" s="616"/>
      <c r="J814" s="616"/>
      <c r="K814" s="92"/>
      <c r="L814" s="92"/>
      <c r="M814" s="92"/>
      <c r="N814" s="92"/>
      <c r="O814" s="92"/>
      <c r="P814" s="92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912" t="s">
        <v>21</v>
      </c>
      <c r="E815" s="888"/>
      <c r="F815" s="888"/>
      <c r="G815" s="602"/>
      <c r="H815" s="782" t="s">
        <v>12</v>
      </c>
      <c r="I815" s="165"/>
      <c r="J815" s="165"/>
      <c r="K815" s="166"/>
      <c r="L815" s="646">
        <f>L816+L817</f>
        <v>0</v>
      </c>
      <c r="M815" s="646">
        <f>M816+M817</f>
        <v>0</v>
      </c>
      <c r="N815" s="646">
        <f>N816+N817</f>
        <v>0</v>
      </c>
      <c r="O815" s="646">
        <f>IF(L815&gt;0,N815*100/L815,0)</f>
        <v>0</v>
      </c>
      <c r="P815" s="646">
        <f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37" t="s">
        <v>38</v>
      </c>
      <c r="E818" s="650"/>
      <c r="F818" s="650"/>
      <c r="G818" s="651"/>
      <c r="H818" s="365"/>
      <c r="I818" s="165"/>
      <c r="J818" s="165"/>
      <c r="K818" s="166"/>
      <c r="L818" s="166"/>
      <c r="M818" s="166"/>
      <c r="N818" s="166"/>
      <c r="O818" s="166"/>
      <c r="P818" s="166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323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36" t="s">
        <v>340</v>
      </c>
      <c r="B820" s="834"/>
      <c r="C820" s="834"/>
      <c r="D820" s="835"/>
      <c r="E820" s="834"/>
      <c r="F820" s="834"/>
      <c r="G820" s="833"/>
      <c r="H820" s="832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1"/>
      <c r="J820" s="831"/>
      <c r="K820" s="830"/>
      <c r="L820" s="830"/>
      <c r="M820" s="830"/>
      <c r="N820" s="830"/>
      <c r="O820" s="830"/>
      <c r="P820" s="83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325</v>
      </c>
      <c r="C821" s="762"/>
      <c r="D821" s="574"/>
      <c r="E821" s="762"/>
      <c r="F821" s="762"/>
      <c r="G821" s="188"/>
      <c r="H821" s="622" t="s">
        <v>12</v>
      </c>
      <c r="I821" s="269">
        <f ca="1">IFERROR(__xludf.DUMMYFUNCTION("IMPORTRANGE(""https://docs.google.com/spreadsheets/d/19vJNZY_5yjcGF2XGBMNZRCAIB0Kwfpjp8YEOfu-bneM/edit?usp=sharing"",""งานกองทุน!D87"")"),378474.21)</f>
        <v>378474.21</v>
      </c>
      <c r="J821" s="269">
        <f ca="1">IFERROR(__xludf.DUMMYFUNCTION("IMPORTRANGE(""https://docs.google.com/spreadsheets/d/19vJNZY_5yjcGF2XGBMNZRCAIB0Kwfpjp8YEOfu-bneM/edit?usp=sharing"",""งานกองทุน!F87"")"),388420.44)</f>
        <v>388420.44</v>
      </c>
      <c r="K821" s="497">
        <f t="shared" ref="K821:K828" ca="1" si="113">IF(I821&gt;0,J821*100/I821,0)</f>
        <v>102.62798091315125</v>
      </c>
      <c r="L821" s="497"/>
      <c r="M821" s="497"/>
      <c r="N821" s="497"/>
      <c r="O821" s="497"/>
      <c r="P821" s="497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8"/>
      <c r="H822" s="622" t="s">
        <v>35</v>
      </c>
      <c r="I822" s="269">
        <f ca="1">IFERROR(__xludf.DUMMYFUNCTION("IMPORTRANGE(""https://docs.google.com/spreadsheets/d/19vJNZY_5yjcGF2XGBMNZRCAIB0Kwfpjp8YEOfu-bneM/edit?usp=sharing"",""งานกองทุน!C87"")"),42)</f>
        <v>42</v>
      </c>
      <c r="J822" s="269">
        <f ca="1">IFERROR(__xludf.DUMMYFUNCTION("IMPORTRANGE(""https://docs.google.com/spreadsheets/d/19vJNZY_5yjcGF2XGBMNZRCAIB0Kwfpjp8YEOfu-bneM/edit?usp=sharing"",""งานกองทุน!E87"")"),42)</f>
        <v>42</v>
      </c>
      <c r="K822" s="497">
        <f t="shared" ca="1" si="113"/>
        <v>100</v>
      </c>
      <c r="L822" s="497"/>
      <c r="M822" s="497"/>
      <c r="N822" s="497"/>
      <c r="O822" s="497"/>
      <c r="P822" s="497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326</v>
      </c>
      <c r="C823" s="762"/>
      <c r="D823" s="574"/>
      <c r="E823" s="762"/>
      <c r="F823" s="762"/>
      <c r="G823" s="188"/>
      <c r="H823" s="622" t="s">
        <v>12</v>
      </c>
      <c r="I823" s="269">
        <f ca="1">IFERROR(__xludf.DUMMYFUNCTION("IMPORTRANGE(""https://docs.google.com/spreadsheets/d/19vJNZY_5yjcGF2XGBMNZRCAIB0Kwfpjp8YEOfu-bneM/edit?usp=sharing"",""งานกองทุน!I87"")"),9790.63)</f>
        <v>9790.6299999999992</v>
      </c>
      <c r="J823" s="269">
        <f ca="1">IFERROR(__xludf.DUMMYFUNCTION("IMPORTRANGE(""https://docs.google.com/spreadsheets/d/19vJNZY_5yjcGF2XGBMNZRCAIB0Kwfpjp8YEOfu-bneM/edit?usp=sharing"",""งานกองทุน!K87"")"),37816.63)</f>
        <v>37816.629999999997</v>
      </c>
      <c r="K823" s="497">
        <f t="shared" ca="1" si="113"/>
        <v>386.25328502864471</v>
      </c>
      <c r="L823" s="497"/>
      <c r="M823" s="497"/>
      <c r="N823" s="497"/>
      <c r="O823" s="497"/>
      <c r="P823" s="497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8"/>
      <c r="H824" s="622" t="s">
        <v>35</v>
      </c>
      <c r="I824" s="269">
        <f ca="1">IFERROR(__xludf.DUMMYFUNCTION("IMPORTRANGE(""https://docs.google.com/spreadsheets/d/19vJNZY_5yjcGF2XGBMNZRCAIB0Kwfpjp8YEOfu-bneM/edit?usp=sharing"",""งานกองทุน!H87"")"),1)</f>
        <v>1</v>
      </c>
      <c r="J824" s="269">
        <f ca="1">IFERROR(__xludf.DUMMYFUNCTION("IMPORTRANGE(""https://docs.google.com/spreadsheets/d/19vJNZY_5yjcGF2XGBMNZRCAIB0Kwfpjp8YEOfu-bneM/edit?usp=sharing"",""งานกองทุน!J87"")"),3)</f>
        <v>3</v>
      </c>
      <c r="K824" s="497">
        <f t="shared" ca="1" si="113"/>
        <v>300</v>
      </c>
      <c r="L824" s="497"/>
      <c r="M824" s="497"/>
      <c r="N824" s="497"/>
      <c r="O824" s="497"/>
      <c r="P824" s="497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327</v>
      </c>
      <c r="C825" s="762"/>
      <c r="D825" s="574"/>
      <c r="E825" s="762"/>
      <c r="F825" s="762"/>
      <c r="G825" s="188"/>
      <c r="H825" s="622" t="s">
        <v>12</v>
      </c>
      <c r="I825" s="269">
        <f ca="1">IFERROR(__xludf.DUMMYFUNCTION("IMPORTRANGE(""https://docs.google.com/spreadsheets/d/19vJNZY_5yjcGF2XGBMNZRCAIB0Kwfpjp8YEOfu-bneM/edit?usp=sharing"",""งานกองทุน!N87"")"),0)</f>
        <v>0</v>
      </c>
      <c r="J825" s="269">
        <f ca="1">IFERROR(__xludf.DUMMYFUNCTION("IMPORTRANGE(""https://docs.google.com/spreadsheets/d/19vJNZY_5yjcGF2XGBMNZRCAIB0Kwfpjp8YEOfu-bneM/edit?usp=sharing"",""งานกองทุน!P87"")"),0)</f>
        <v>0</v>
      </c>
      <c r="K825" s="497">
        <f t="shared" ca="1" si="113"/>
        <v>0</v>
      </c>
      <c r="L825" s="497"/>
      <c r="M825" s="497"/>
      <c r="N825" s="497"/>
      <c r="O825" s="497"/>
      <c r="P825" s="497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8"/>
      <c r="H826" s="622" t="s">
        <v>35</v>
      </c>
      <c r="I826" s="269">
        <f ca="1">IFERROR(__xludf.DUMMYFUNCTION("IMPORTRANGE(""https://docs.google.com/spreadsheets/d/19vJNZY_5yjcGF2XGBMNZRCAIB0Kwfpjp8YEOfu-bneM/edit?usp=sharing"",""งานกองทุน!M87"")"),0)</f>
        <v>0</v>
      </c>
      <c r="J826" s="269">
        <f ca="1">IFERROR(__xludf.DUMMYFUNCTION("IMPORTRANGE(""https://docs.google.com/spreadsheets/d/19vJNZY_5yjcGF2XGBMNZRCAIB0Kwfpjp8YEOfu-bneM/edit?usp=sharing"",""งานกองทุน!O87"")"),0)</f>
        <v>0</v>
      </c>
      <c r="K826" s="497">
        <f t="shared" ca="1" si="113"/>
        <v>0</v>
      </c>
      <c r="L826" s="497"/>
      <c r="M826" s="497"/>
      <c r="N826" s="497"/>
      <c r="O826" s="497"/>
      <c r="P826" s="497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328</v>
      </c>
      <c r="C827" s="762"/>
      <c r="D827" s="574"/>
      <c r="E827" s="762"/>
      <c r="F827" s="762"/>
      <c r="G827" s="188"/>
      <c r="H827" s="622" t="s">
        <v>12</v>
      </c>
      <c r="I827" s="269">
        <f ca="1">IFERROR(__xludf.DUMMYFUNCTION("IMPORTRANGE(""https://docs.google.com/spreadsheets/d/19vJNZY_5yjcGF2XGBMNZRCAIB0Kwfpjp8YEOfu-bneM/edit?usp=sharing"",""งานกองทุน!S87"")"),780000)</f>
        <v>780000</v>
      </c>
      <c r="J827" s="269">
        <f ca="1">IFERROR(__xludf.DUMMYFUNCTION("IMPORTRANGE(""https://docs.google.com/spreadsheets/d/19vJNZY_5yjcGF2XGBMNZRCAIB0Kwfpjp8YEOfu-bneM/edit?usp=sharing"",""งานกองทุน!U87"")"),930000)</f>
        <v>930000</v>
      </c>
      <c r="K827" s="497">
        <f t="shared" ca="1" si="113"/>
        <v>119.23076923076923</v>
      </c>
      <c r="L827" s="497"/>
      <c r="M827" s="497"/>
      <c r="N827" s="497"/>
      <c r="O827" s="497"/>
      <c r="P827" s="497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827"/>
      <c r="B828" s="748"/>
      <c r="C828" s="748"/>
      <c r="D828" s="747"/>
      <c r="E828" s="748"/>
      <c r="F828" s="748"/>
      <c r="G828" s="828"/>
      <c r="H828" s="829" t="s">
        <v>35</v>
      </c>
      <c r="I828" s="505">
        <f ca="1">IFERROR(__xludf.DUMMYFUNCTION("IMPORTRANGE(""https://docs.google.com/spreadsheets/d/19vJNZY_5yjcGF2XGBMNZRCAIB0Kwfpjp8YEOfu-bneM/edit?usp=sharing"",""งานกองทุน!R87"")"),31)</f>
        <v>31</v>
      </c>
      <c r="J828" s="505">
        <f ca="1">IFERROR(__xludf.DUMMYFUNCTION("IMPORTRANGE(""https://docs.google.com/spreadsheets/d/19vJNZY_5yjcGF2XGBMNZRCAIB0Kwfpjp8YEOfu-bneM/edit?usp=sharing"",""งานกองทุน!T87"")"),31)</f>
        <v>31</v>
      </c>
      <c r="K828" s="506">
        <f t="shared" ca="1" si="113"/>
        <v>100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 gridLines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AB409-6421-4CEA-A84C-DE478EB523FF}">
  <sheetPr>
    <outlinePr summaryBelow="0" summaryRight="0"/>
    <pageSetUpPr fitToPage="1"/>
  </sheetPr>
  <dimension ref="A1:Z828"/>
  <sheetViews>
    <sheetView tabSelected="1" view="pageBreakPreview" topLeftCell="H1" zoomScale="50" zoomScaleNormal="10" zoomScaleSheetLayoutView="50" workbookViewId="0">
      <pane ySplit="6" topLeftCell="A7" activePane="bottomLeft" state="frozen"/>
      <selection activeCell="X18" sqref="X18:X21"/>
      <selection pane="bottomLeft" activeCell="X18" sqref="X18:X2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20.140625" bestFit="1" customWidth="1"/>
    <col min="16" max="16" width="22" bestFit="1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353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354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4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7055252</v>
      </c>
      <c r="M8" s="21">
        <f ca="1">M9+M10</f>
        <v>7725715.0699999994</v>
      </c>
      <c r="N8" s="21">
        <f ca="1">N9+N10</f>
        <v>7745715.0699999994</v>
      </c>
      <c r="O8" s="21">
        <f t="shared" ref="O8:O16" ca="1" si="0">IF(L8&gt;0,N8*100/L8,0)</f>
        <v>109.78651180709065</v>
      </c>
      <c r="P8" s="21">
        <f t="shared" ref="P8:P16" ca="1" si="1">IF(M8&gt;0,N8*100/M8,0)</f>
        <v>100.25887571336487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7055252</v>
      </c>
      <c r="M10" s="29">
        <f t="shared" ca="1" si="2"/>
        <v>7725715.0699999994</v>
      </c>
      <c r="N10" s="29">
        <f t="shared" ca="1" si="2"/>
        <v>7745715.0699999994</v>
      </c>
      <c r="O10" s="29">
        <f t="shared" ca="1" si="0"/>
        <v>109.78651180709065</v>
      </c>
      <c r="P10" s="29">
        <f t="shared" ca="1" si="1"/>
        <v>100.25887571336487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22" t="s">
        <v>12</v>
      </c>
      <c r="I11" s="269"/>
      <c r="J11" s="269"/>
      <c r="K11" s="497"/>
      <c r="L11" s="497">
        <f ca="1">L12+L13</f>
        <v>6586652</v>
      </c>
      <c r="M11" s="497">
        <f ca="1">M12+M13</f>
        <v>7289715.0699999994</v>
      </c>
      <c r="N11" s="497">
        <f ca="1">N12+N13</f>
        <v>7289715.0699999994</v>
      </c>
      <c r="O11" s="497">
        <f t="shared" ca="1" si="0"/>
        <v>110.6740582317086</v>
      </c>
      <c r="P11" s="497">
        <f t="shared" ca="1" si="1"/>
        <v>99.999999999999986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6"/>
      <c r="J12" s="616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6"/>
      <c r="J13" s="616"/>
      <c r="K13" s="92"/>
      <c r="L13" s="92">
        <f t="shared" ca="1" si="3"/>
        <v>6586652</v>
      </c>
      <c r="M13" s="92">
        <f t="shared" ca="1" si="3"/>
        <v>7289715.0699999994</v>
      </c>
      <c r="N13" s="92">
        <f t="shared" ca="1" si="3"/>
        <v>7289715.0699999994</v>
      </c>
      <c r="O13" s="92">
        <f t="shared" ca="1" si="0"/>
        <v>110.6740582317086</v>
      </c>
      <c r="P13" s="92">
        <f t="shared" ca="1" si="1"/>
        <v>99.999999999999986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22" t="s">
        <v>12</v>
      </c>
      <c r="I14" s="269"/>
      <c r="J14" s="269"/>
      <c r="K14" s="497"/>
      <c r="L14" s="497">
        <f ca="1">L15+L16</f>
        <v>468600</v>
      </c>
      <c r="M14" s="497">
        <f ca="1">M15+M16</f>
        <v>436000</v>
      </c>
      <c r="N14" s="497">
        <f ca="1">N15+N16</f>
        <v>456000</v>
      </c>
      <c r="O14" s="497">
        <f t="shared" ca="1" si="0"/>
        <v>97.311139564660692</v>
      </c>
      <c r="P14" s="497">
        <f t="shared" ca="1" si="1"/>
        <v>104.58715596330275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6"/>
      <c r="J15" s="616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468600</v>
      </c>
      <c r="M16" s="51">
        <f t="shared" ca="1" si="4"/>
        <v>436000</v>
      </c>
      <c r="N16" s="51">
        <f t="shared" ca="1" si="4"/>
        <v>456000</v>
      </c>
      <c r="O16" s="51">
        <f t="shared" ca="1" si="0"/>
        <v>97.311139564660692</v>
      </c>
      <c r="P16" s="51">
        <f t="shared" ca="1" si="1"/>
        <v>104.58715596330275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4971944</v>
      </c>
      <c r="M18" s="21">
        <f ca="1">M19+M20</f>
        <v>5253062.0199999996</v>
      </c>
      <c r="N18" s="21">
        <f ca="1">N19+N20</f>
        <v>5273062.0199999996</v>
      </c>
      <c r="O18" s="21">
        <f t="shared" ref="O18:O26" ca="1" si="5">IF(L18&gt;0,N18*100/L18,0)</f>
        <v>106.05634375608413</v>
      </c>
      <c r="P18" s="21">
        <f t="shared" ref="P18:P26" ca="1" si="6">IF(M18&gt;0,N18*100/M18,0)</f>
        <v>100.38073032307355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4971944</v>
      </c>
      <c r="M20" s="29">
        <f t="shared" ca="1" si="7"/>
        <v>5253062.0199999996</v>
      </c>
      <c r="N20" s="29">
        <f t="shared" ca="1" si="7"/>
        <v>5273062.0199999996</v>
      </c>
      <c r="O20" s="29">
        <f t="shared" ca="1" si="5"/>
        <v>106.05634375608413</v>
      </c>
      <c r="P20" s="29">
        <f t="shared" ca="1" si="6"/>
        <v>100.38073032307355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22" t="s">
        <v>12</v>
      </c>
      <c r="I21" s="269"/>
      <c r="J21" s="269"/>
      <c r="K21" s="497"/>
      <c r="L21" s="497">
        <f ca="1">L22+L23</f>
        <v>4503344</v>
      </c>
      <c r="M21" s="497">
        <f ca="1">M22+M23</f>
        <v>4817062.0199999996</v>
      </c>
      <c r="N21" s="497">
        <f ca="1">N22+N23</f>
        <v>4817062.0199999996</v>
      </c>
      <c r="O21" s="497">
        <f t="shared" ca="1" si="5"/>
        <v>106.96633479476583</v>
      </c>
      <c r="P21" s="497">
        <f t="shared" ca="1" si="6"/>
        <v>100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6"/>
      <c r="J22" s="616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6"/>
      <c r="J23" s="616"/>
      <c r="K23" s="92"/>
      <c r="L23" s="92">
        <f t="shared" ca="1" si="8"/>
        <v>4503344</v>
      </c>
      <c r="M23" s="92">
        <f t="shared" ca="1" si="8"/>
        <v>4817062.0199999996</v>
      </c>
      <c r="N23" s="92">
        <f t="shared" ca="1" si="8"/>
        <v>4817062.0199999996</v>
      </c>
      <c r="O23" s="92">
        <f t="shared" ca="1" si="5"/>
        <v>106.96633479476583</v>
      </c>
      <c r="P23" s="92">
        <f t="shared" ca="1" si="6"/>
        <v>100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22" t="s">
        <v>12</v>
      </c>
      <c r="I24" s="269"/>
      <c r="J24" s="269"/>
      <c r="K24" s="497"/>
      <c r="L24" s="497">
        <f ca="1">L25+L26</f>
        <v>468600</v>
      </c>
      <c r="M24" s="497">
        <f ca="1">M25+M26</f>
        <v>436000</v>
      </c>
      <c r="N24" s="497">
        <f ca="1">N25+N26</f>
        <v>456000</v>
      </c>
      <c r="O24" s="497">
        <f t="shared" ca="1" si="5"/>
        <v>97.311139564660692</v>
      </c>
      <c r="P24" s="497">
        <f t="shared" ca="1" si="6"/>
        <v>104.58715596330275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6"/>
      <c r="J25" s="616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468600</v>
      </c>
      <c r="M26" s="51">
        <f t="shared" ca="1" si="9"/>
        <v>436000</v>
      </c>
      <c r="N26" s="51">
        <f t="shared" ca="1" si="9"/>
        <v>456000</v>
      </c>
      <c r="O26" s="51">
        <f t="shared" ca="1" si="5"/>
        <v>97.311139564660692</v>
      </c>
      <c r="P26" s="51">
        <f t="shared" ca="1" si="6"/>
        <v>104.58715596330275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2083308</v>
      </c>
      <c r="M28" s="21">
        <f ca="1">M29+M30</f>
        <v>2472653.0499999998</v>
      </c>
      <c r="N28" s="21">
        <f>N29+N30</f>
        <v>2472653.0499999998</v>
      </c>
      <c r="O28" s="21">
        <f t="shared" ref="O28:O37" ca="1" si="10">IF(L28&gt;0,N28*100/L28,0)</f>
        <v>118.6887896556822</v>
      </c>
      <c r="P28" s="21">
        <f t="shared" ref="P28:P37" ca="1" si="11">IF(M28&gt;0,N28*100/M28,0)</f>
        <v>100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2083308</v>
      </c>
      <c r="M30" s="29">
        <f t="shared" ca="1" si="12"/>
        <v>2472653.0499999998</v>
      </c>
      <c r="N30" s="29">
        <f t="shared" si="12"/>
        <v>2472653.0499999998</v>
      </c>
      <c r="O30" s="29">
        <f t="shared" ca="1" si="10"/>
        <v>118.6887896556822</v>
      </c>
      <c r="P30" s="29">
        <f t="shared" ca="1" si="11"/>
        <v>100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22" t="s">
        <v>12</v>
      </c>
      <c r="I31" s="269"/>
      <c r="J31" s="269"/>
      <c r="K31" s="497"/>
      <c r="L31" s="497">
        <f ca="1">L32+L33</f>
        <v>2083308</v>
      </c>
      <c r="M31" s="497">
        <f ca="1">M32+M33</f>
        <v>2472653.0499999998</v>
      </c>
      <c r="N31" s="497">
        <f>N32+N33</f>
        <v>2472653.0499999998</v>
      </c>
      <c r="O31" s="497">
        <f t="shared" ca="1" si="10"/>
        <v>118.6887896556822</v>
      </c>
      <c r="P31" s="497">
        <f t="shared" ca="1" si="11"/>
        <v>100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6"/>
      <c r="J32" s="616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6"/>
      <c r="J33" s="616"/>
      <c r="K33" s="92"/>
      <c r="L33" s="92">
        <f t="shared" ca="1" si="13"/>
        <v>2083308</v>
      </c>
      <c r="M33" s="92">
        <f t="shared" ca="1" si="13"/>
        <v>2472653.0499999998</v>
      </c>
      <c r="N33" s="92">
        <f t="shared" si="13"/>
        <v>2472653.0499999998</v>
      </c>
      <c r="O33" s="92">
        <f t="shared" ca="1" si="10"/>
        <v>118.6887896556822</v>
      </c>
      <c r="P33" s="92">
        <f t="shared" ca="1" si="11"/>
        <v>100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22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6"/>
      <c r="J35" s="616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868" t="s">
        <v>24</v>
      </c>
      <c r="B37" s="867"/>
      <c r="C37" s="867"/>
      <c r="D37" s="867"/>
      <c r="E37" s="867"/>
      <c r="F37" s="867"/>
      <c r="G37" s="866"/>
      <c r="H37" s="865"/>
      <c r="I37" s="864"/>
      <c r="J37" s="864"/>
      <c r="K37" s="863"/>
      <c r="L37" s="862">
        <f ca="1">L41+L53+L66+L88+L119+L132+L149+L165+L181+L261+L277+L298+L315+L328+L345+L389+L402</f>
        <v>4971944</v>
      </c>
      <c r="M37" s="862">
        <f ca="1">M41+M53+M66+M88+M119+M132+M149+M165+M181+M261+M277+M298+M315+M328+M345+M389+M402</f>
        <v>5253062.0199999996</v>
      </c>
      <c r="N37" s="862">
        <f ca="1">N41+N53+N66+N88+N119+N132+N149+N165+N181+N261+N277+N298+N315+N328+N345+N389+N402</f>
        <v>5273062.0199999996</v>
      </c>
      <c r="O37" s="862">
        <f t="shared" ca="1" si="10"/>
        <v>106.05634375608413</v>
      </c>
      <c r="P37" s="862">
        <f t="shared" ca="1" si="11"/>
        <v>100.38073032307355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9" t="s">
        <v>27</v>
      </c>
      <c r="C40" s="888"/>
      <c r="D40" s="888"/>
      <c r="E40" s="888"/>
      <c r="F40" s="888"/>
      <c r="G40" s="894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1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675169</v>
      </c>
      <c r="M41" s="84">
        <f ca="1">M42+M43</f>
        <v>700497</v>
      </c>
      <c r="N41" s="84">
        <f ca="1">N42+N43</f>
        <v>700497</v>
      </c>
      <c r="O41" s="84">
        <f t="shared" ref="O41:O49" ca="1" si="15">IF(L41&gt;0,N41*100/L41,0)</f>
        <v>103.75135706763788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675169</v>
      </c>
      <c r="M43" s="91">
        <f t="shared" ca="1" si="17"/>
        <v>700497</v>
      </c>
      <c r="N43" s="91">
        <f t="shared" ca="1" si="17"/>
        <v>700497</v>
      </c>
      <c r="O43" s="91">
        <f t="shared" ca="1" si="15"/>
        <v>103.75135706763788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22" t="s">
        <v>12</v>
      </c>
      <c r="I44" s="269"/>
      <c r="J44" s="269"/>
      <c r="K44" s="497"/>
      <c r="L44" s="497">
        <f ca="1">L45+L46</f>
        <v>675169</v>
      </c>
      <c r="M44" s="497">
        <f ca="1">M45+M46</f>
        <v>700497</v>
      </c>
      <c r="N44" s="497">
        <f ca="1">N45+N46</f>
        <v>700497</v>
      </c>
      <c r="O44" s="497">
        <f t="shared" ca="1" si="15"/>
        <v>103.75135706763788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6"/>
      <c r="J45" s="616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6"/>
      <c r="J46" s="616"/>
      <c r="K46" s="92"/>
      <c r="L46" s="92">
        <f ca="1">IFERROR(__xludf.DUMMYFUNCTION("IMPORTRANGE(""https://docs.google.com/spreadsheets/d/1MeEWN-I1oV_STSDYn1IFDPWt_1FKiwhDph83XaGc0o0/edit?usp=sharing"",""งบพรบ!M88"")"),675169)</f>
        <v>675169</v>
      </c>
      <c r="M46" s="92">
        <f ca="1">IFERROR(__xludf.DUMMYFUNCTION("IMPORTRANGE(""https://docs.google.com/spreadsheets/d/1MeEWN-I1oV_STSDYn1IFDPWt_1FKiwhDph83XaGc0o0/edit?usp=sharing"",""งบพรบ!R88"")"),700497)</f>
        <v>700497</v>
      </c>
      <c r="N46" s="92">
        <f ca="1">IFERROR(__xludf.DUMMYFUNCTION("IMPORTRANGE(""https://docs.google.com/spreadsheets/d/1MeEWN-I1oV_STSDYn1IFDPWt_1FKiwhDph83XaGc0o0/edit?usp=sharing"",""งบพรบ!T88"")"),700497)</f>
        <v>700497</v>
      </c>
      <c r="O46" s="92">
        <f t="shared" ca="1" si="15"/>
        <v>103.75135706763788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22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6"/>
      <c r="J48" s="616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IFERROR(__xludf.DUMMYFUNCTION("IMPORTRANGE(""https://docs.google.com/spreadsheets/d/1MeEWN-I1oV_STSDYn1IFDPWt_1FKiwhDph83XaGc0o0/edit?usp=sharing"",""งบพรบ!P88"")"),0)</f>
        <v>0</v>
      </c>
      <c r="M49" s="51">
        <f ca="1">IFERROR(__xludf.DUMMYFUNCTION("IMPORTRANGE(""https://docs.google.com/spreadsheets/d/1MeEWN-I1oV_STSDYn1IFDPWt_1FKiwhDph83XaGc0o0/edit?usp=sharing"",""งบพรบ!S88"")"),0)</f>
        <v>0</v>
      </c>
      <c r="N49" s="51">
        <f ca="1">IFERROR(__xludf.DUMMYFUNCTION("IMPORTRANGE(""https://docs.google.com/spreadsheets/d/1MeEWN-I1oV_STSDYn1IFDPWt_1FKiwhDph83XaGc0o0/edit?usp=sharing"",""งบพรบ!U88"")"),0)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3" t="s">
        <v>29</v>
      </c>
      <c r="C51" s="888"/>
      <c r="D51" s="888"/>
      <c r="E51" s="888"/>
      <c r="F51" s="888"/>
      <c r="G51" s="894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643400</v>
      </c>
      <c r="M53" s="115">
        <f ca="1">M54+M55</f>
        <v>718660.02</v>
      </c>
      <c r="N53" s="115">
        <f ca="1">N54+N55</f>
        <v>738660.02</v>
      </c>
      <c r="O53" s="115">
        <f t="shared" ref="O53:O61" ca="1" si="18">IF(L53&gt;0,N53*100/L53,0)</f>
        <v>114.80572272303388</v>
      </c>
      <c r="P53" s="115">
        <f t="shared" ref="P53:P61" ca="1" si="19">IF(M53&gt;0,N53*100/M53,0)</f>
        <v>102.78295709284065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643400</v>
      </c>
      <c r="M55" s="122">
        <f t="shared" ca="1" si="20"/>
        <v>718660.02</v>
      </c>
      <c r="N55" s="122">
        <f t="shared" ca="1" si="20"/>
        <v>738660.02</v>
      </c>
      <c r="O55" s="122">
        <f t="shared" ca="1" si="18"/>
        <v>114.80572272303388</v>
      </c>
      <c r="P55" s="122">
        <f t="shared" ca="1" si="19"/>
        <v>102.78295709284065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22" t="s">
        <v>12</v>
      </c>
      <c r="I56" s="269"/>
      <c r="J56" s="269"/>
      <c r="K56" s="497"/>
      <c r="L56" s="497">
        <f ca="1">L57+L58</f>
        <v>532400</v>
      </c>
      <c r="M56" s="497">
        <f ca="1">M57+M58</f>
        <v>613060.02</v>
      </c>
      <c r="N56" s="497">
        <f ca="1">N57+N58</f>
        <v>613060.02</v>
      </c>
      <c r="O56" s="497">
        <f t="shared" ca="1" si="18"/>
        <v>115.15026671675432</v>
      </c>
      <c r="P56" s="497">
        <f t="shared" ca="1" si="19"/>
        <v>100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6"/>
      <c r="J57" s="616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6"/>
      <c r="J58" s="616"/>
      <c r="K58" s="92"/>
      <c r="L58" s="92">
        <f ca="1">IFERROR(__xludf.DUMMYFUNCTION("IMPORTRANGE(""https://docs.google.com/spreadsheets/d/1MeEWN-I1oV_STSDYn1IFDPWt_1FKiwhDph83XaGc0o0/edit?usp=sharing"",""งบพรบ!W88"")"),532400)</f>
        <v>532400</v>
      </c>
      <c r="M58" s="92">
        <f ca="1">IFERROR(__xludf.DUMMYFUNCTION("IMPORTRANGE(""https://docs.google.com/spreadsheets/d/1MeEWN-I1oV_STSDYn1IFDPWt_1FKiwhDph83XaGc0o0/edit?usp=sharing"",""งบพรบ!AB88"")"),613060.02)</f>
        <v>613060.02</v>
      </c>
      <c r="N58" s="92">
        <f ca="1">IFERROR(__xludf.DUMMYFUNCTION("IMPORTRANGE(""https://docs.google.com/spreadsheets/d/1MeEWN-I1oV_STSDYn1IFDPWt_1FKiwhDph83XaGc0o0/edit?usp=sharing"",""งบพรบ!AD88"")"),613060.02)</f>
        <v>613060.02</v>
      </c>
      <c r="O58" s="92">
        <f t="shared" ca="1" si="18"/>
        <v>115.15026671675432</v>
      </c>
      <c r="P58" s="92">
        <f t="shared" ca="1" si="19"/>
        <v>100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22" t="s">
        <v>12</v>
      </c>
      <c r="I59" s="269"/>
      <c r="J59" s="269"/>
      <c r="K59" s="497"/>
      <c r="L59" s="497">
        <f ca="1">L60+L61</f>
        <v>111000</v>
      </c>
      <c r="M59" s="497">
        <f ca="1">M60+M61</f>
        <v>105600</v>
      </c>
      <c r="N59" s="497">
        <f ca="1">N60+N61</f>
        <v>125600</v>
      </c>
      <c r="O59" s="497">
        <f t="shared" ca="1" si="18"/>
        <v>113.15315315315316</v>
      </c>
      <c r="P59" s="497">
        <f t="shared" ca="1" si="19"/>
        <v>118.93939393939394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6"/>
      <c r="J60" s="616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IFERROR(__xludf.DUMMYFUNCTION("IMPORTRANGE(""https://docs.google.com/spreadsheets/d/1MeEWN-I1oV_STSDYn1IFDPWt_1FKiwhDph83XaGc0o0/edit?usp=sharing"",""งบพรบ!Z88"")"),111000)</f>
        <v>111000</v>
      </c>
      <c r="M61" s="51">
        <f ca="1">IFERROR(__xludf.DUMMYFUNCTION("IMPORTRANGE(""https://docs.google.com/spreadsheets/d/1MeEWN-I1oV_STSDYn1IFDPWt_1FKiwhDph83XaGc0o0/edit?usp=sharing"",""งบพรบ!AC88"")"),105600)</f>
        <v>105600</v>
      </c>
      <c r="N61" s="51">
        <f ca="1">IFERROR(__xludf.DUMMYFUNCTION("IMPORTRANGE(""https://docs.google.com/spreadsheets/d/1MeEWN-I1oV_STSDYn1IFDPWt_1FKiwhDph83XaGc0o0/edit?usp=sharing"",""งบพรบ!AE88"")"),125600)</f>
        <v>125600</v>
      </c>
      <c r="O61" s="51">
        <f t="shared" ca="1" si="18"/>
        <v>113.15315315315316</v>
      </c>
      <c r="P61" s="51">
        <f t="shared" ca="1" si="19"/>
        <v>118.93939393939394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1</v>
      </c>
      <c r="J64" s="143">
        <f>J76</f>
        <v>1</v>
      </c>
      <c r="K64" s="144">
        <f ca="1">IF(I64&gt;0,J64*100/I64,0)</f>
        <v>100</v>
      </c>
      <c r="L64" s="145"/>
      <c r="M64" s="145"/>
      <c r="N64" s="145"/>
      <c r="O64" s="145"/>
      <c r="P64" s="145"/>
    </row>
    <row r="65" spans="1:26" ht="19.5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30</v>
      </c>
      <c r="J65" s="143">
        <f>J77</f>
        <v>30</v>
      </c>
      <c r="K65" s="144">
        <f ca="1">IF(I65&gt;0,J65*100/I65,0)</f>
        <v>100</v>
      </c>
      <c r="L65" s="145"/>
      <c r="M65" s="145"/>
      <c r="N65" s="145"/>
      <c r="O65" s="145"/>
      <c r="P65" s="145"/>
    </row>
    <row r="66" spans="1:26" ht="19.5">
      <c r="A66" s="146"/>
      <c r="B66" s="147"/>
      <c r="C66" s="148" t="s">
        <v>16</v>
      </c>
      <c r="D66" s="846" t="s">
        <v>17</v>
      </c>
      <c r="E66" s="147"/>
      <c r="F66" s="147"/>
      <c r="G66" s="150"/>
      <c r="H66" s="151" t="s">
        <v>12</v>
      </c>
      <c r="I66" s="420"/>
      <c r="J66" s="420"/>
      <c r="K66" s="153"/>
      <c r="L66" s="154">
        <f ca="1">L67+L68</f>
        <v>384000</v>
      </c>
      <c r="M66" s="154">
        <f ca="1">M67+M68</f>
        <v>409000</v>
      </c>
      <c r="N66" s="154">
        <f ca="1">N67+N68</f>
        <v>409000</v>
      </c>
      <c r="O66" s="154">
        <f t="shared" ref="O66:O74" ca="1" si="21">IF(L66&gt;0,N66*100/L66,0)</f>
        <v>106.51041666666667</v>
      </c>
      <c r="P66" s="154">
        <f t="shared" ref="P66:P74" ca="1" si="22">IF(M66&gt;0,N66*100/M66,0)</f>
        <v>100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6"/>
      <c r="J67" s="616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6"/>
      <c r="J68" s="616"/>
      <c r="K68" s="92"/>
      <c r="L68" s="92">
        <f t="shared" ca="1" si="23"/>
        <v>384000</v>
      </c>
      <c r="M68" s="92">
        <f t="shared" ca="1" si="23"/>
        <v>409000</v>
      </c>
      <c r="N68" s="92">
        <f t="shared" ca="1" si="23"/>
        <v>409000</v>
      </c>
      <c r="O68" s="92">
        <f t="shared" ca="1" si="21"/>
        <v>106.51041666666667</v>
      </c>
      <c r="P68" s="92">
        <f t="shared" ca="1" si="22"/>
        <v>100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384000</v>
      </c>
      <c r="M69" s="497">
        <f ca="1">M70+M71</f>
        <v>409000</v>
      </c>
      <c r="N69" s="497">
        <f ca="1">N70+N71</f>
        <v>409000</v>
      </c>
      <c r="O69" s="497">
        <f t="shared" ca="1" si="21"/>
        <v>106.51041666666667</v>
      </c>
      <c r="P69" s="497">
        <f t="shared" ca="1" si="22"/>
        <v>100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IFERROR(__xludf.DUMMYFUNCTION("IMPORTRANGE(""https://docs.google.com/spreadsheets/d/1MeEWN-I1oV_STSDYn1IFDPWt_1FKiwhDph83XaGc0o0/edit?usp=sharing"",""งบพรบ!AG88"")"),384000)</f>
        <v>384000</v>
      </c>
      <c r="M71" s="92">
        <f ca="1">IFERROR(__xludf.DUMMYFUNCTION("IMPORTRANGE(""https://docs.google.com/spreadsheets/d/1MeEWN-I1oV_STSDYn1IFDPWt_1FKiwhDph83XaGc0o0/edit?usp=sharing"",""งบพรบ!AL88"")"),409000)</f>
        <v>409000</v>
      </c>
      <c r="N71" s="92">
        <f ca="1">IFERROR(__xludf.DUMMYFUNCTION("IMPORTRANGE(""https://docs.google.com/spreadsheets/d/1MeEWN-I1oV_STSDYn1IFDPWt_1FKiwhDph83XaGc0o0/edit?usp=sharing"",""งบพรบ!AN88"")"),409000)</f>
        <v>409000</v>
      </c>
      <c r="O71" s="92">
        <f t="shared" ca="1" si="21"/>
        <v>106.51041666666667</v>
      </c>
      <c r="P71" s="92">
        <f t="shared" ca="1" si="22"/>
        <v>100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IFERROR(__xludf.DUMMYFUNCTION("IMPORTRANGE(""https://docs.google.com/spreadsheets/d/1MeEWN-I1oV_STSDYn1IFDPWt_1FKiwhDph83XaGc0o0/edit?usp=sharing"",""งบพรบ!AJ88"")"),0)</f>
        <v>0</v>
      </c>
      <c r="M74" s="92">
        <f ca="1">IFERROR(__xludf.DUMMYFUNCTION("IMPORTRANGE(""https://docs.google.com/spreadsheets/d/1MeEWN-I1oV_STSDYn1IFDPWt_1FKiwhDph83XaGc0o0/edit?usp=sharing"",""งบพรบ!AM88"")"),0)</f>
        <v>0</v>
      </c>
      <c r="N74" s="92">
        <f ca="1">IFERROR(__xludf.DUMMYFUNCTION("IMPORTRANGE(""https://docs.google.com/spreadsheets/d/1MeEWN-I1oV_STSDYn1IFDPWt_1FKiwhDph83XaGc0o0/edit?usp=sharing"",""งบพรบ!AO88"")"),0)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>
      <c r="A75" s="169"/>
      <c r="B75" s="170"/>
      <c r="C75" s="163" t="s">
        <v>16</v>
      </c>
      <c r="D75" s="847" t="s">
        <v>38</v>
      </c>
      <c r="E75" s="172"/>
      <c r="F75" s="172"/>
      <c r="G75" s="173"/>
      <c r="H75" s="761"/>
      <c r="I75" s="183"/>
      <c r="J75" s="183"/>
      <c r="K75" s="162"/>
      <c r="L75" s="162"/>
      <c r="M75" s="162"/>
      <c r="N75" s="162"/>
      <c r="O75" s="162"/>
      <c r="P75" s="162"/>
    </row>
    <row r="76" spans="1:26" ht="19.5">
      <c r="A76" s="169"/>
      <c r="B76" s="170"/>
      <c r="C76" s="170"/>
      <c r="D76" s="175" t="s">
        <v>39</v>
      </c>
      <c r="E76" s="447"/>
      <c r="F76" s="177"/>
      <c r="G76" s="178"/>
      <c r="H76" s="179" t="s">
        <v>34</v>
      </c>
      <c r="I76" s="269">
        <f ca="1">I78+I80+I82</f>
        <v>1</v>
      </c>
      <c r="J76" s="269">
        <f>J78+J80+J82</f>
        <v>1</v>
      </c>
      <c r="K76" s="162">
        <f t="shared" ref="K76:K84" ca="1" si="24">IF(I76&gt;0,J76*100/I76,0)</f>
        <v>100</v>
      </c>
      <c r="L76" s="162"/>
      <c r="M76" s="162"/>
      <c r="N76" s="162"/>
      <c r="O76" s="162"/>
      <c r="P76" s="162"/>
    </row>
    <row r="77" spans="1:26" ht="19.5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30</v>
      </c>
      <c r="J77" s="269">
        <f>J79+J81+J83</f>
        <v>30</v>
      </c>
      <c r="K77" s="162">
        <f t="shared" ca="1" si="24"/>
        <v>100</v>
      </c>
      <c r="L77" s="162"/>
      <c r="M77" s="162"/>
      <c r="N77" s="162"/>
      <c r="O77" s="162"/>
      <c r="P77" s="162"/>
    </row>
    <row r="78" spans="1:26" ht="18.75">
      <c r="A78" s="169"/>
      <c r="B78" s="170"/>
      <c r="C78" s="170"/>
      <c r="D78" s="170"/>
      <c r="E78" s="447" t="s">
        <v>40</v>
      </c>
      <c r="F78" s="447"/>
      <c r="G78" s="178"/>
      <c r="H78" s="763" t="s">
        <v>34</v>
      </c>
      <c r="I78" s="183">
        <f ca="1">IFERROR(__xludf.DUMMYFUNCTION("IMPORTRANGE(""https://docs.google.com/spreadsheets/d/1QqKyyYR6Q21VydFLVH3TRQUabQu_ym0Zz7PgGX0-kHA/edit?usp=sharing"",""แผน!H88"")"),1)</f>
        <v>1</v>
      </c>
      <c r="J78" s="214">
        <v>1</v>
      </c>
      <c r="K78" s="162">
        <f t="shared" ca="1" si="24"/>
        <v>100</v>
      </c>
      <c r="L78" s="162"/>
      <c r="M78" s="162"/>
      <c r="N78" s="162"/>
      <c r="O78" s="162"/>
      <c r="P78" s="162"/>
    </row>
    <row r="79" spans="1:26" ht="18.75">
      <c r="A79" s="169"/>
      <c r="B79" s="170"/>
      <c r="C79" s="170"/>
      <c r="D79" s="170"/>
      <c r="E79" s="177"/>
      <c r="F79" s="177"/>
      <c r="G79" s="178"/>
      <c r="H79" s="763" t="s">
        <v>35</v>
      </c>
      <c r="I79" s="183">
        <f ca="1">IFERROR(__xludf.DUMMYFUNCTION("IMPORTRANGE(""https://docs.google.com/spreadsheets/d/1QqKyyYR6Q21VydFLVH3TRQUabQu_ym0Zz7PgGX0-kHA/edit?usp=sharing"",""แผน!I88"")"),30)</f>
        <v>30</v>
      </c>
      <c r="J79" s="214">
        <v>30</v>
      </c>
      <c r="K79" s="162">
        <f t="shared" ca="1" si="24"/>
        <v>100</v>
      </c>
      <c r="L79" s="162"/>
      <c r="M79" s="162"/>
      <c r="N79" s="162"/>
      <c r="O79" s="162"/>
      <c r="P79" s="162"/>
    </row>
    <row r="80" spans="1:26" ht="18.75">
      <c r="A80" s="169"/>
      <c r="B80" s="170"/>
      <c r="C80" s="170"/>
      <c r="D80" s="170"/>
      <c r="E80" s="447" t="s">
        <v>41</v>
      </c>
      <c r="F80" s="447"/>
      <c r="G80" s="178"/>
      <c r="H80" s="763" t="s">
        <v>34</v>
      </c>
      <c r="I80" s="183">
        <f ca="1">IFERROR(__xludf.DUMMYFUNCTION("IMPORTRANGE(""https://docs.google.com/spreadsheets/d/1QqKyyYR6Q21VydFLVH3TRQUabQu_ym0Zz7PgGX0-kHA/edit?usp=sharing"",""แผน!F88"")"),0)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>
      <c r="A81" s="169"/>
      <c r="B81" s="170"/>
      <c r="C81" s="170"/>
      <c r="D81" s="170"/>
      <c r="E81" s="177"/>
      <c r="F81" s="177"/>
      <c r="G81" s="178"/>
      <c r="H81" s="763" t="s">
        <v>35</v>
      </c>
      <c r="I81" s="183">
        <f ca="1">IFERROR(__xludf.DUMMYFUNCTION("IMPORTRANGE(""https://docs.google.com/spreadsheets/d/1QqKyyYR6Q21VydFLVH3TRQUabQu_ym0Zz7PgGX0-kHA/edit?usp=sharing"",""แผน!G88"")"),0)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>
      <c r="A82" s="169"/>
      <c r="B82" s="170"/>
      <c r="C82" s="170"/>
      <c r="D82" s="170"/>
      <c r="E82" s="447" t="s">
        <v>42</v>
      </c>
      <c r="F82" s="447"/>
      <c r="G82" s="178"/>
      <c r="H82" s="763" t="s">
        <v>34</v>
      </c>
      <c r="I82" s="183">
        <f ca="1">IFERROR(__xludf.DUMMYFUNCTION("IMPORTRANGE(""https://docs.google.com/spreadsheets/d/1QqKyyYR6Q21VydFLVH3TRQUabQu_ym0Zz7PgGX0-kHA/edit?usp=sharing"",""แผน!D88"")"),0)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>
      <c r="A83" s="169"/>
      <c r="B83" s="170"/>
      <c r="C83" s="170"/>
      <c r="D83" s="170"/>
      <c r="E83" s="177"/>
      <c r="F83" s="177"/>
      <c r="G83" s="178"/>
      <c r="H83" s="763" t="s">
        <v>35</v>
      </c>
      <c r="I83" s="183">
        <f ca="1">IFERROR(__xludf.DUMMYFUNCTION("IMPORTRANGE(""https://docs.google.com/spreadsheets/d/1QqKyyYR6Q21VydFLVH3TRQUabQu_ym0Zz7PgGX0-kHA/edit?usp=sharing"",""แผน!E88"")"),0)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>
      <c r="A84" s="169"/>
      <c r="B84" s="170"/>
      <c r="C84" s="170"/>
      <c r="D84" s="175" t="s">
        <v>43</v>
      </c>
      <c r="E84" s="447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IFERROR(__xludf.DUMMYFUNCTION("IMPORTRANGE(""https://docs.google.com/spreadsheets/d/1QqKyyYR6Q21VydFLVH3TRQUabQu_ym0Zz7PgGX0-kHA/edit?usp=sharing"",""แผน!J88"")"),1)</f>
        <v>1</v>
      </c>
      <c r="J84" s="214">
        <v>1</v>
      </c>
      <c r="K84" s="162">
        <f t="shared" ca="1" si="24"/>
        <v>100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11</v>
      </c>
      <c r="K87" s="144">
        <f ca="1">IF(I87&gt;0,J87*100/I87,0)</f>
        <v>110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46" t="s">
        <v>17</v>
      </c>
      <c r="E88" s="147"/>
      <c r="F88" s="147"/>
      <c r="G88" s="150"/>
      <c r="H88" s="151" t="s">
        <v>12</v>
      </c>
      <c r="I88" s="420"/>
      <c r="J88" s="420"/>
      <c r="K88" s="153"/>
      <c r="L88" s="154">
        <f ca="1">L89+L90</f>
        <v>56040</v>
      </c>
      <c r="M88" s="154">
        <f ca="1">M89+M90</f>
        <v>56040</v>
      </c>
      <c r="N88" s="154">
        <f ca="1">N89+N90</f>
        <v>56040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6"/>
      <c r="J89" s="616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6"/>
      <c r="J90" s="616"/>
      <c r="K90" s="92"/>
      <c r="L90" s="92">
        <f t="shared" ca="1" si="27"/>
        <v>56040</v>
      </c>
      <c r="M90" s="92">
        <f t="shared" ca="1" si="27"/>
        <v>56040</v>
      </c>
      <c r="N90" s="92">
        <f t="shared" ca="1" si="27"/>
        <v>56040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56040</v>
      </c>
      <c r="M91" s="497">
        <f ca="1">M92+M93</f>
        <v>56040</v>
      </c>
      <c r="N91" s="497">
        <f ca="1">N92+N93</f>
        <v>56040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IFERROR(__xludf.DUMMYFUNCTION("IMPORTRANGE(""https://docs.google.com/spreadsheets/d/1MeEWN-I1oV_STSDYn1IFDPWt_1FKiwhDph83XaGc0o0/edit?usp=sharing"",""งบพรบ!AQ88"")"),56040)</f>
        <v>56040</v>
      </c>
      <c r="M93" s="92">
        <f ca="1">IFERROR(__xludf.DUMMYFUNCTION("IMPORTRANGE(""https://docs.google.com/spreadsheets/d/1MeEWN-I1oV_STSDYn1IFDPWt_1FKiwhDph83XaGc0o0/edit?usp=sharing"",""งบพรบ!AV88"")"),56040)</f>
        <v>56040</v>
      </c>
      <c r="N93" s="92">
        <f ca="1">IFERROR(__xludf.DUMMYFUNCTION("IMPORTRANGE(""https://docs.google.com/spreadsheets/d/1MeEWN-I1oV_STSDYn1IFDPWt_1FKiwhDph83XaGc0o0/edit?usp=sharing"",""งบพรบ!AX88"")"),56040)</f>
        <v>56040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IFERROR(__xludf.DUMMYFUNCTION("IMPORTRANGE(""https://docs.google.com/spreadsheets/d/1MeEWN-I1oV_STSDYn1IFDPWt_1FKiwhDph83XaGc0o0/edit?usp=sharing"",""งบพรบ!AT88"")"),0)</f>
        <v>0</v>
      </c>
      <c r="M96" s="92">
        <f ca="1">IFERROR(__xludf.DUMMYFUNCTION("IMPORTRANGE(""https://docs.google.com/spreadsheets/d/1MeEWN-I1oV_STSDYn1IFDPWt_1FKiwhDph83XaGc0o0/edit?usp=sharing"",""งบพรบ!AW88"")"),0)</f>
        <v>0</v>
      </c>
      <c r="N96" s="92">
        <f ca="1">IFERROR(__xludf.DUMMYFUNCTION("IMPORTRANGE(""https://docs.google.com/spreadsheets/d/1MeEWN-I1oV_STSDYn1IFDPWt_1FKiwhDph83XaGc0o0/edit?usp=sharing"",""งบพรบ!AY88"")"),0)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47" t="s">
        <v>38</v>
      </c>
      <c r="E97" s="172"/>
      <c r="F97" s="172"/>
      <c r="G97" s="173"/>
      <c r="H97" s="761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7" t="s">
        <v>47</v>
      </c>
      <c r="E98" s="447"/>
      <c r="F98" s="177"/>
      <c r="G98" s="178"/>
      <c r="H98" s="622" t="s">
        <v>46</v>
      </c>
      <c r="I98" s="269">
        <f ca="1">IFERROR(__xludf.DUMMYFUNCTION("IMPORTRANGE(""https://docs.google.com/spreadsheets/d/1QqKyyYR6Q21VydFLVH3TRQUabQu_ym0Zz7PgGX0-kHA/edit?usp=sharing"",""แผน!K88"")"),30)</f>
        <v>30</v>
      </c>
      <c r="J98" s="269">
        <f>J102</f>
        <v>30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7" t="s">
        <v>48</v>
      </c>
      <c r="E99" s="447"/>
      <c r="F99" s="177"/>
      <c r="G99" s="178"/>
      <c r="H99" s="622" t="s">
        <v>35</v>
      </c>
      <c r="I99" s="269">
        <f ca="1">IFERROR(__xludf.DUMMYFUNCTION("IMPORTRANGE(""https://docs.google.com/spreadsheets/d/1QqKyyYR6Q21VydFLVH3TRQUabQu_ym0Zz7PgGX0-kHA/edit?usp=sharing"",""แผน!L88"")"),10)</f>
        <v>10</v>
      </c>
      <c r="J99" s="269">
        <f>J104</f>
        <v>11</v>
      </c>
      <c r="K99" s="497">
        <f ca="1">IF(I99&gt;0,J99*100/I99,0)</f>
        <v>110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22" t="s">
        <v>49</v>
      </c>
      <c r="I100" s="269">
        <f ca="1">IFERROR(__xludf.DUMMYFUNCTION("IMPORTRANGE(""https://docs.google.com/spreadsheets/d/1QqKyyYR6Q21VydFLVH3TRQUabQu_ym0Zz7PgGX0-kHA/edit?usp=sharing"",""แผน!M88"")"),1)</f>
        <v>1</v>
      </c>
      <c r="J100" s="269">
        <f>J107+J110</f>
        <v>1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22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5" t="s">
        <v>47</v>
      </c>
      <c r="F102" s="177"/>
      <c r="G102" s="178"/>
      <c r="H102" s="622" t="s">
        <v>46</v>
      </c>
      <c r="I102" s="269">
        <f ca="1">IFERROR(__xludf.DUMMYFUNCTION("IMPORTRANGE(""https://docs.google.com/spreadsheets/d/1QqKyyYR6Q21VydFLVH3TRQUabQu_ym0Zz7PgGX0-kHA/edit?usp=sharing"",""แผน!N88"")"),30)</f>
        <v>30</v>
      </c>
      <c r="J102" s="214">
        <v>30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7" t="s">
        <v>51</v>
      </c>
      <c r="F103" s="177"/>
      <c r="G103" s="178"/>
      <c r="H103" s="622" t="s">
        <v>35</v>
      </c>
      <c r="I103" s="269">
        <f ca="1">IFERROR(__xludf.DUMMYFUNCTION("IMPORTRANGE(""https://docs.google.com/spreadsheets/d/1QqKyyYR6Q21VydFLVH3TRQUabQu_ym0Zz7PgGX0-kHA/edit?usp=sharing"",""แผน!O88"")"),10)</f>
        <v>10</v>
      </c>
      <c r="J103" s="214">
        <v>11</v>
      </c>
      <c r="K103" s="497">
        <f ca="1">IF(I103&gt;0,J103*100/I103,0)</f>
        <v>110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22" t="s">
        <v>35</v>
      </c>
      <c r="I104" s="269">
        <f ca="1">IFERROR(__xludf.DUMMYFUNCTION("IMPORTRANGE(""https://docs.google.com/spreadsheets/d/1QqKyyYR6Q21VydFLVH3TRQUabQu_ym0Zz7PgGX0-kHA/edit?usp=sharing"",""แผน!O88"")"),10)</f>
        <v>10</v>
      </c>
      <c r="J104" s="214">
        <v>11</v>
      </c>
      <c r="K104" s="497">
        <f ca="1">IF(I104&gt;0,J104*100/I104,0)</f>
        <v>110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7" t="s">
        <v>54</v>
      </c>
      <c r="F106" s="177"/>
      <c r="G106" s="178"/>
      <c r="H106" s="622" t="s">
        <v>49</v>
      </c>
      <c r="I106" s="269">
        <f ca="1">IFERROR(__xludf.DUMMYFUNCTION("IMPORTRANGE(""https://docs.google.com/spreadsheets/d/1QqKyyYR6Q21VydFLVH3TRQUabQu_ym0Zz7PgGX0-kHA/edit?usp=sharing"",""แผน!P88"")"),1)</f>
        <v>1</v>
      </c>
      <c r="J106" s="21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22" t="s">
        <v>49</v>
      </c>
      <c r="I107" s="269">
        <f ca="1">IFERROR(__xludf.DUMMYFUNCTION("IMPORTRANGE(""https://docs.google.com/spreadsheets/d/1QqKyyYR6Q21VydFLVH3TRQUabQu_ym0Zz7PgGX0-kHA/edit?usp=sharing"",""แผน!P88"")"),1)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7" t="s">
        <v>57</v>
      </c>
      <c r="F109" s="177"/>
      <c r="G109" s="178"/>
      <c r="H109" s="622" t="s">
        <v>49</v>
      </c>
      <c r="I109" s="269">
        <f ca="1">IFERROR(__xludf.DUMMYFUNCTION("IMPORTRANGE(""https://docs.google.com/spreadsheets/d/1QqKyyYR6Q21VydFLVH3TRQUabQu_ym0Zz7PgGX0-kHA/edit?usp=sharing"",""แผน!Q88"")"),0)</f>
        <v>0</v>
      </c>
      <c r="J109" s="214">
        <v>0</v>
      </c>
      <c r="K109" s="497">
        <f t="shared" ref="K109:K116" ca="1" si="28">IF(I109&gt;0,J109*100/I109,0)</f>
        <v>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22" t="s">
        <v>49</v>
      </c>
      <c r="I110" s="269">
        <f ca="1">IFERROR(__xludf.DUMMYFUNCTION("IMPORTRANGE(""https://docs.google.com/spreadsheets/d/1QqKyyYR6Q21VydFLVH3TRQUabQu_ym0Zz7PgGX0-kHA/edit?usp=sharing"",""แผน!Q88"")"),0)</f>
        <v>0</v>
      </c>
      <c r="J110" s="214">
        <v>0</v>
      </c>
      <c r="K110" s="497">
        <f t="shared" ca="1" si="28"/>
        <v>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6" t="s">
        <v>35</v>
      </c>
      <c r="I111" s="192">
        <f ca="1">IFERROR(__xludf.DUMMYFUNCTION("IMPORTRANGE(""https://docs.google.com/spreadsheets/d/1QqKyyYR6Q21VydFLVH3TRQUabQu_ym0Zz7PgGX0-kHA/edit?usp=sharing"",""แผน!R88"")"),10)</f>
        <v>10</v>
      </c>
      <c r="J111" s="680">
        <f>J114</f>
        <v>11</v>
      </c>
      <c r="K111" s="194">
        <f t="shared" ca="1" si="28"/>
        <v>110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1</v>
      </c>
      <c r="J112" s="680">
        <f>J115+J116</f>
        <v>1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31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IFERROR(__xludf.DUMMYFUNCTION("IMPORTRANGE(""https://docs.google.com/spreadsheets/d/1QqKyyYR6Q21VydFLVH3TRQUabQu_ym0Zz7PgGX0-kHA/edit?usp=sharing"",""แผน!R88"")"),10)</f>
        <v>10</v>
      </c>
      <c r="J113" s="214">
        <v>11</v>
      </c>
      <c r="K113" s="497">
        <f t="shared" ca="1" si="28"/>
        <v>110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7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IFERROR(__xludf.DUMMYFUNCTION("IMPORTRANGE(""https://docs.google.com/spreadsheets/d/1QqKyyYR6Q21VydFLVH3TRQUabQu_ym0Zz7PgGX0-kHA/edit?usp=sharing"",""แผน!R88"")"),10)</f>
        <v>10</v>
      </c>
      <c r="J114" s="214">
        <v>11</v>
      </c>
      <c r="K114" s="497">
        <f t="shared" ca="1" si="28"/>
        <v>110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7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IFERROR(__xludf.DUMMYFUNCTION("IMPORTRANGE(""https://docs.google.com/spreadsheets/d/1QqKyyYR6Q21VydFLVH3TRQUabQu_ym0Zz7PgGX0-kHA/edit?usp=sharing"",""แผน!S88"")"),1)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7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IFERROR(__xludf.DUMMYFUNCTION("IMPORTRANGE(""https://docs.google.com/spreadsheets/d/1QqKyyYR6Q21VydFLVH3TRQUabQu_ym0Zz7PgGX0-kHA/edit?usp=sharing"",""แผน!T88"")"),0)</f>
        <v>0</v>
      </c>
      <c r="J116" s="214">
        <v>0</v>
      </c>
      <c r="K116" s="497">
        <f t="shared" ca="1" si="28"/>
        <v>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 t="s">
        <v>66</v>
      </c>
      <c r="I118" s="207">
        <v>0</v>
      </c>
      <c r="J118" s="207">
        <v>0</v>
      </c>
      <c r="K118" s="145">
        <f>IF(I118&gt;0,J118*100/I118,0)</f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46" t="s">
        <v>17</v>
      </c>
      <c r="E119" s="147"/>
      <c r="F119" s="147"/>
      <c r="G119" s="150"/>
      <c r="H119" s="151" t="s">
        <v>12</v>
      </c>
      <c r="I119" s="420"/>
      <c r="J119" s="420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6"/>
      <c r="J120" s="616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6"/>
      <c r="J121" s="616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IFERROR(__xludf.DUMMYFUNCTION("IMPORTRANGE(""https://docs.google.com/spreadsheets/d/1MeEWN-I1oV_STSDYn1IFDPWt_1FKiwhDph83XaGc0o0/edit?usp=sharing"",""งบพรบ!BA88"")"),0)</f>
        <v>0</v>
      </c>
      <c r="M124" s="92">
        <f ca="1">IFERROR(__xludf.DUMMYFUNCTION("IMPORTRANGE(""https://docs.google.com/spreadsheets/d/1MeEWN-I1oV_STSDYn1IFDPWt_1FKiwhDph83XaGc0o0/edit?usp=sharing"",""งบพรบ!BF88"")"),0)</f>
        <v>0</v>
      </c>
      <c r="N124" s="92">
        <f ca="1">IFERROR(__xludf.DUMMYFUNCTION("IMPORTRANGE(""https://docs.google.com/spreadsheets/d/1MeEWN-I1oV_STSDYn1IFDPWt_1FKiwhDph83XaGc0o0/edit?usp=sharing"",""งบพรบ!BH88"")"),0)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IFERROR(__xludf.DUMMYFUNCTION("IMPORTRANGE(""https://docs.google.com/spreadsheets/d/1MeEWN-I1oV_STSDYn1IFDPWt_1FKiwhDph83XaGc0o0/edit?usp=sharing"",""งบพรบ!BD88"")"),0)</f>
        <v>0</v>
      </c>
      <c r="M127" s="92">
        <f ca="1">IFERROR(__xludf.DUMMYFUNCTION("IMPORTRANGE(""https://docs.google.com/spreadsheets/d/1MeEWN-I1oV_STSDYn1IFDPWt_1FKiwhDph83XaGc0o0/edit?usp=sharing"",""งบพรบ!BG88"")"),0)</f>
        <v>0</v>
      </c>
      <c r="N127" s="92">
        <f ca="1">IFERROR(__xludf.DUMMYFUNCTION("IMPORTRANGE(""https://docs.google.com/spreadsheets/d/1MeEWN-I1oV_STSDYn1IFDPWt_1FKiwhDph83XaGc0o0/edit?usp=sharing"",""งบพรบ!BI88"")"),0)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2</v>
      </c>
      <c r="J130" s="143">
        <f>J146</f>
        <v>2</v>
      </c>
      <c r="K130" s="144">
        <f ca="1">IF(I130&gt;0,J130*100/I130,0)</f>
        <v>100</v>
      </c>
      <c r="L130" s="145"/>
      <c r="M130" s="145"/>
      <c r="N130" s="145"/>
      <c r="O130" s="145"/>
      <c r="P130" s="145"/>
    </row>
    <row r="131" spans="1:26" ht="19.5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20</v>
      </c>
      <c r="J131" s="143">
        <f ca="1">J143</f>
        <v>20</v>
      </c>
      <c r="K131" s="144">
        <f ca="1">IF(I131&gt;0,J131*100/I131,0)</f>
        <v>100</v>
      </c>
      <c r="L131" s="145"/>
      <c r="M131" s="145"/>
      <c r="N131" s="145"/>
      <c r="O131" s="145"/>
      <c r="P131" s="145"/>
    </row>
    <row r="132" spans="1:26" ht="19.5">
      <c r="A132" s="146"/>
      <c r="B132" s="147"/>
      <c r="C132" s="148" t="s">
        <v>16</v>
      </c>
      <c r="D132" s="846" t="s">
        <v>17</v>
      </c>
      <c r="E132" s="147"/>
      <c r="F132" s="147"/>
      <c r="G132" s="150"/>
      <c r="H132" s="151" t="s">
        <v>12</v>
      </c>
      <c r="I132" s="420"/>
      <c r="J132" s="420"/>
      <c r="K132" s="153"/>
      <c r="L132" s="154">
        <f ca="1">L133+L134</f>
        <v>911610</v>
      </c>
      <c r="M132" s="154">
        <f ca="1">M133+M134</f>
        <v>922010</v>
      </c>
      <c r="N132" s="154">
        <f ca="1">N133+N134</f>
        <v>922010</v>
      </c>
      <c r="O132" s="154">
        <f t="shared" ref="O132:O140" ca="1" si="32">IF(L132&gt;0,N132*100/L132,0)</f>
        <v>101.14083873586293</v>
      </c>
      <c r="P132" s="154">
        <f t="shared" ref="P132:P140" ca="1" si="33">IF(M132&gt;0,N132*100/M132,0)</f>
        <v>100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6"/>
      <c r="J133" s="616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6"/>
      <c r="J134" s="616"/>
      <c r="K134" s="92"/>
      <c r="L134" s="92">
        <f t="shared" ca="1" si="34"/>
        <v>911610</v>
      </c>
      <c r="M134" s="92">
        <f t="shared" ca="1" si="34"/>
        <v>922010</v>
      </c>
      <c r="N134" s="92">
        <f t="shared" ca="1" si="34"/>
        <v>922010</v>
      </c>
      <c r="O134" s="92">
        <f t="shared" ca="1" si="32"/>
        <v>101.14083873586293</v>
      </c>
      <c r="P134" s="92">
        <f t="shared" ca="1" si="33"/>
        <v>100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705610</v>
      </c>
      <c r="M135" s="497">
        <f ca="1">M136+M137</f>
        <v>722010</v>
      </c>
      <c r="N135" s="497">
        <f ca="1">N136+N137</f>
        <v>722010</v>
      </c>
      <c r="O135" s="497">
        <f t="shared" ca="1" si="32"/>
        <v>102.32423009877978</v>
      </c>
      <c r="P135" s="497">
        <f t="shared" ca="1" si="33"/>
        <v>100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IFERROR(__xludf.DUMMYFUNCTION("IMPORTRANGE(""https://docs.google.com/spreadsheets/d/1MeEWN-I1oV_STSDYn1IFDPWt_1FKiwhDph83XaGc0o0/edit?usp=sharing"",""งบพรบ!BK88"")"),705610)</f>
        <v>705610</v>
      </c>
      <c r="M137" s="92">
        <f ca="1">IFERROR(__xludf.DUMMYFUNCTION("IMPORTRANGE(""https://docs.google.com/spreadsheets/d/1MeEWN-I1oV_STSDYn1IFDPWt_1FKiwhDph83XaGc0o0/edit?usp=sharing"",""งบพรบ!BP88"")"),722010)</f>
        <v>722010</v>
      </c>
      <c r="N137" s="92">
        <f ca="1">IFERROR(__xludf.DUMMYFUNCTION("IMPORTRANGE(""https://docs.google.com/spreadsheets/d/1MeEWN-I1oV_STSDYn1IFDPWt_1FKiwhDph83XaGc0o0/edit?usp=sharing"",""งบพรบ!BR88"")"),722010)</f>
        <v>722010</v>
      </c>
      <c r="O137" s="92">
        <f t="shared" ca="1" si="32"/>
        <v>102.32423009877978</v>
      </c>
      <c r="P137" s="92">
        <f t="shared" ca="1" si="33"/>
        <v>100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206000</v>
      </c>
      <c r="M138" s="497">
        <f ca="1">M139+M140</f>
        <v>200000</v>
      </c>
      <c r="N138" s="497">
        <f ca="1">N139+N140</f>
        <v>200000</v>
      </c>
      <c r="O138" s="497">
        <f t="shared" ca="1" si="32"/>
        <v>97.087378640776706</v>
      </c>
      <c r="P138" s="497">
        <f t="shared" ca="1" si="33"/>
        <v>100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IFERROR(__xludf.DUMMYFUNCTION("IMPORTRANGE(""https://docs.google.com/spreadsheets/d/1MeEWN-I1oV_STSDYn1IFDPWt_1FKiwhDph83XaGc0o0/edit?usp=sharing"",""งบพรบ!BN88"")"),206000)</f>
        <v>206000</v>
      </c>
      <c r="M140" s="92">
        <f ca="1">IFERROR(__xludf.DUMMYFUNCTION("IMPORTRANGE(""https://docs.google.com/spreadsheets/d/1MeEWN-I1oV_STSDYn1IFDPWt_1FKiwhDph83XaGc0o0/edit?usp=sharing"",""งบพรบ!BQ88"")"),200000)</f>
        <v>200000</v>
      </c>
      <c r="N140" s="92">
        <f ca="1">IFERROR(__xludf.DUMMYFUNCTION("IMPORTRANGE(""https://docs.google.com/spreadsheets/d/1MeEWN-I1oV_STSDYn1IFDPWt_1FKiwhDph83XaGc0o0/edit?usp=sharing"",""งบพรบ!BS88"")"),200000)</f>
        <v>200000</v>
      </c>
      <c r="O140" s="92">
        <f t="shared" ca="1" si="32"/>
        <v>97.087378640776706</v>
      </c>
      <c r="P140" s="92">
        <f t="shared" ca="1" si="33"/>
        <v>100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>
      <c r="A141" s="169"/>
      <c r="B141" s="170"/>
      <c r="C141" s="148" t="s">
        <v>16</v>
      </c>
      <c r="D141" s="84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20</v>
      </c>
      <c r="J143" s="269">
        <f ca="1">IF(AND(J144&gt;=I144,J145&gt;=I145),J145,0)</f>
        <v>20</v>
      </c>
      <c r="K143" s="497">
        <f ca="1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IFERROR(__xludf.DUMMYFUNCTION("IMPORTRANGE(""https://docs.google.com/spreadsheets/d/1QqKyyYR6Q21VydFLVH3TRQUabQu_ym0Zz7PgGX0-kHA/edit?usp=sharing"",""แผน!U88"")"),10)</f>
        <v>10</v>
      </c>
      <c r="J144" s="214">
        <v>10</v>
      </c>
      <c r="K144" s="497">
        <f ca="1">IF(I144&gt;0,J144*100/I144,0)</f>
        <v>100</v>
      </c>
      <c r="L144" s="497"/>
      <c r="M144" s="497"/>
      <c r="N144" s="497"/>
      <c r="O144" s="497"/>
      <c r="P144" s="497"/>
    </row>
    <row r="145" spans="1:26" ht="19.5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IFERROR(__xludf.DUMMYFUNCTION("IMPORTRANGE(""https://docs.google.com/spreadsheets/d/1QqKyyYR6Q21VydFLVH3TRQUabQu_ym0Zz7PgGX0-kHA/edit?usp=sharing"",""แผน!V88"")"),20)</f>
        <v>20</v>
      </c>
      <c r="J145" s="214">
        <v>20</v>
      </c>
      <c r="K145" s="497">
        <f ca="1">IF(I145&gt;0,J145*100/I145,0)</f>
        <v>100</v>
      </c>
      <c r="L145" s="497"/>
      <c r="M145" s="497"/>
      <c r="N145" s="497"/>
      <c r="O145" s="497"/>
      <c r="P145" s="497"/>
    </row>
    <row r="146" spans="1:26" ht="19.5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IFERROR(__xludf.DUMMYFUNCTION("IMPORTRANGE(""https://docs.google.com/spreadsheets/d/1QqKyyYR6Q21VydFLVH3TRQUabQu_ym0Zz7PgGX0-kHA/edit?usp=sharing"",""แผน!W88"")"),2)</f>
        <v>2</v>
      </c>
      <c r="J146" s="214">
        <v>2</v>
      </c>
      <c r="K146" s="497">
        <f ca="1">IF(I146&gt;0,J146*100/I146,0)</f>
        <v>100</v>
      </c>
      <c r="L146" s="497"/>
      <c r="M146" s="497"/>
      <c r="N146" s="497"/>
      <c r="O146" s="497"/>
      <c r="P146" s="497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59"/>
      <c r="F148" s="218"/>
      <c r="G148" s="219"/>
      <c r="H148" s="220" t="s">
        <v>35</v>
      </c>
      <c r="I148" s="143">
        <f ca="1">I159</f>
        <v>20</v>
      </c>
      <c r="J148" s="143">
        <f>J159</f>
        <v>20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46" t="s">
        <v>17</v>
      </c>
      <c r="E149" s="147"/>
      <c r="F149" s="147"/>
      <c r="G149" s="150"/>
      <c r="H149" s="151" t="s">
        <v>12</v>
      </c>
      <c r="I149" s="420"/>
      <c r="J149" s="420"/>
      <c r="K149" s="153"/>
      <c r="L149" s="154">
        <f ca="1">L150+L151</f>
        <v>10000</v>
      </c>
      <c r="M149" s="154">
        <f ca="1">M150+M151</f>
        <v>30680</v>
      </c>
      <c r="N149" s="154">
        <f ca="1">N150+N151</f>
        <v>30680</v>
      </c>
      <c r="O149" s="154">
        <f t="shared" ref="O149:O157" ca="1" si="35">IF(L149&gt;0,N149*100/L149,0)</f>
        <v>306.8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6"/>
      <c r="J150" s="616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6"/>
      <c r="J151" s="616"/>
      <c r="K151" s="92"/>
      <c r="L151" s="92">
        <f t="shared" ca="1" si="37"/>
        <v>10000</v>
      </c>
      <c r="M151" s="92">
        <f t="shared" ca="1" si="37"/>
        <v>30680</v>
      </c>
      <c r="N151" s="92">
        <f t="shared" ca="1" si="37"/>
        <v>30680</v>
      </c>
      <c r="O151" s="92">
        <f t="shared" ca="1" si="35"/>
        <v>306.8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10000</v>
      </c>
      <c r="M152" s="497">
        <f ca="1">M153+M154</f>
        <v>30680</v>
      </c>
      <c r="N152" s="497">
        <f ca="1">N153+N154</f>
        <v>30680</v>
      </c>
      <c r="O152" s="497">
        <f t="shared" ca="1" si="35"/>
        <v>306.8</v>
      </c>
      <c r="P152" s="497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IFERROR(__xludf.DUMMYFUNCTION("IMPORTRANGE(""https://docs.google.com/spreadsheets/d/1MeEWN-I1oV_STSDYn1IFDPWt_1FKiwhDph83XaGc0o0/edit?usp=sharing"",""งบพรบ!BU88"")"),10000)</f>
        <v>10000</v>
      </c>
      <c r="M154" s="92">
        <f ca="1">IFERROR(__xludf.DUMMYFUNCTION("IMPORTRANGE(""https://docs.google.com/spreadsheets/d/1MeEWN-I1oV_STSDYn1IFDPWt_1FKiwhDph83XaGc0o0/edit?usp=sharing"",""งบพรบ!BZ88"")"),30680)</f>
        <v>30680</v>
      </c>
      <c r="N154" s="92">
        <f ca="1">IFERROR(__xludf.DUMMYFUNCTION("IMPORTRANGE(""https://docs.google.com/spreadsheets/d/1MeEWN-I1oV_STSDYn1IFDPWt_1FKiwhDph83XaGc0o0/edit?usp=sharing"",""งบพรบ!CB88"")"),30680)</f>
        <v>30680</v>
      </c>
      <c r="O154" s="92">
        <f t="shared" ca="1" si="35"/>
        <v>306.8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IFERROR(__xludf.DUMMYFUNCTION("IMPORTRANGE(""https://docs.google.com/spreadsheets/d/1MeEWN-I1oV_STSDYn1IFDPWt_1FKiwhDph83XaGc0o0/edit?usp=sharing"",""งบพรบ!BX88"")"),0)</f>
        <v>0</v>
      </c>
      <c r="M157" s="92">
        <f ca="1">IFERROR(__xludf.DUMMYFUNCTION("IMPORTRANGE(""https://docs.google.com/spreadsheets/d/1MeEWN-I1oV_STSDYn1IFDPWt_1FKiwhDph83XaGc0o0/edit?usp=sharing"",""งบพรบ!CA88"")"),0)</f>
        <v>0</v>
      </c>
      <c r="N157" s="92">
        <f ca="1">IFERROR(__xludf.DUMMYFUNCTION("IMPORTRANGE(""https://docs.google.com/spreadsheets/d/1MeEWN-I1oV_STSDYn1IFDPWt_1FKiwhDph83XaGc0o0/edit?usp=sharing"",""งบพรบ!CC88"")"),0)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9"/>
      <c r="B158" s="170"/>
      <c r="C158" s="163" t="s">
        <v>16</v>
      </c>
      <c r="D158" s="84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IFERROR(__xludf.DUMMYFUNCTION("IMPORTRANGE(""https://docs.google.com/spreadsheets/d/1QqKyyYR6Q21VydFLVH3TRQUabQu_ym0Zz7PgGX0-kHA/edit?usp=sharing"",""แผน!X88"")"),20)</f>
        <v>20</v>
      </c>
      <c r="J159" s="214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6"/>
      <c r="J160" s="616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58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11</v>
      </c>
      <c r="J164" s="252">
        <f>J174+J177</f>
        <v>11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46" t="s">
        <v>17</v>
      </c>
      <c r="E165" s="147"/>
      <c r="F165" s="147"/>
      <c r="G165" s="150"/>
      <c r="H165" s="151" t="s">
        <v>12</v>
      </c>
      <c r="I165" s="420"/>
      <c r="J165" s="420"/>
      <c r="K165" s="153"/>
      <c r="L165" s="154">
        <f ca="1">L166+L167</f>
        <v>22055</v>
      </c>
      <c r="M165" s="154">
        <f ca="1">M166+M167</f>
        <v>65205</v>
      </c>
      <c r="N165" s="154">
        <f ca="1">N166+N167</f>
        <v>65205</v>
      </c>
      <c r="O165" s="154">
        <f t="shared" ref="O165:O173" ca="1" si="38">IF(L165&gt;0,N165*100/L165,0)</f>
        <v>295.64724552255723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6"/>
      <c r="J166" s="616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6"/>
      <c r="J167" s="616"/>
      <c r="K167" s="92"/>
      <c r="L167" s="92">
        <f t="shared" ca="1" si="40"/>
        <v>22055</v>
      </c>
      <c r="M167" s="92">
        <f t="shared" ca="1" si="40"/>
        <v>65205</v>
      </c>
      <c r="N167" s="92">
        <f t="shared" ca="1" si="40"/>
        <v>65205</v>
      </c>
      <c r="O167" s="92">
        <f t="shared" ca="1" si="38"/>
        <v>295.64724552255723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22055</v>
      </c>
      <c r="M168" s="497">
        <f ca="1">M169+M170</f>
        <v>65205</v>
      </c>
      <c r="N168" s="497">
        <f ca="1">N169+N170</f>
        <v>65205</v>
      </c>
      <c r="O168" s="497">
        <f t="shared" ca="1" si="38"/>
        <v>295.64724552255723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IFERROR(__xludf.DUMMYFUNCTION("IMPORTRANGE(""https://docs.google.com/spreadsheets/d/1MeEWN-I1oV_STSDYn1IFDPWt_1FKiwhDph83XaGc0o0/edit?usp=sharing"",""งบพรบ!CE88"")"),22055)</f>
        <v>22055</v>
      </c>
      <c r="M170" s="92">
        <f ca="1">IFERROR(__xludf.DUMMYFUNCTION("IMPORTRANGE(""https://docs.google.com/spreadsheets/d/1MeEWN-I1oV_STSDYn1IFDPWt_1FKiwhDph83XaGc0o0/edit?usp=sharing"",""งบพรบ!CJ88"")"),65205)</f>
        <v>65205</v>
      </c>
      <c r="N170" s="92">
        <f ca="1">IFERROR(__xludf.DUMMYFUNCTION("IMPORTRANGE(""https://docs.google.com/spreadsheets/d/1MeEWN-I1oV_STSDYn1IFDPWt_1FKiwhDph83XaGc0o0/edit?usp=sharing"",""งบพรบ!CL88"")"),65205)</f>
        <v>65205</v>
      </c>
      <c r="O170" s="92">
        <f t="shared" ca="1" si="38"/>
        <v>295.64724552255723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IFERROR(__xludf.DUMMYFUNCTION("IMPORTRANGE(""https://docs.google.com/spreadsheets/d/1MeEWN-I1oV_STSDYn1IFDPWt_1FKiwhDph83XaGc0o0/edit?usp=sharing"",""งบพรบ!CH88"")"),0)</f>
        <v>0</v>
      </c>
      <c r="M173" s="92">
        <f ca="1">IFERROR(__xludf.DUMMYFUNCTION("IMPORTRANGE(""https://docs.google.com/spreadsheets/d/1MeEWN-I1oV_STSDYn1IFDPWt_1FKiwhDph83XaGc0o0/edit?usp=sharing"",""งบพรบ!CK88"")"),0)</f>
        <v>0</v>
      </c>
      <c r="N173" s="92">
        <f ca="1">IFERROR(__xludf.DUMMYFUNCTION("IMPORTRANGE(""https://docs.google.com/spreadsheets/d/1MeEWN-I1oV_STSDYn1IFDPWt_1FKiwhDph83XaGc0o0/edit?usp=sharing"",""งบพรบ!CM88"")"),0)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11</v>
      </c>
      <c r="J174" s="260">
        <f>J176</f>
        <v>11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47" t="s">
        <v>38</v>
      </c>
      <c r="E175" s="172"/>
      <c r="F175" s="172"/>
      <c r="G175" s="173"/>
      <c r="H175" s="761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5" t="s">
        <v>85</v>
      </c>
      <c r="E176" s="177"/>
      <c r="F176" s="177"/>
      <c r="G176" s="178"/>
      <c r="H176" s="622" t="s">
        <v>35</v>
      </c>
      <c r="I176" s="269">
        <f ca="1">IFERROR(__xludf.DUMMYFUNCTION("IMPORTRANGE(""https://docs.google.com/spreadsheets/d/1QqKyyYR6Q21VydFLVH3TRQUabQu_ym0Zz7PgGX0-kHA/edit?usp=sharing"",""แผน!Y88"")"),11)</f>
        <v>11</v>
      </c>
      <c r="J176" s="214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61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46" t="s">
        <v>17</v>
      </c>
      <c r="E181" s="147"/>
      <c r="F181" s="147"/>
      <c r="G181" s="150"/>
      <c r="H181" s="151" t="s">
        <v>12</v>
      </c>
      <c r="I181" s="420"/>
      <c r="J181" s="420"/>
      <c r="K181" s="153"/>
      <c r="L181" s="154">
        <f ca="1">L182+L183</f>
        <v>64500</v>
      </c>
      <c r="M181" s="154">
        <f ca="1">M182+M183</f>
        <v>64500</v>
      </c>
      <c r="N181" s="154">
        <f ca="1">N182+N183</f>
        <v>64500</v>
      </c>
      <c r="O181" s="154">
        <f t="shared" ref="O181:O189" ca="1" si="41">IF(L181&gt;0,N181*100/L181,0)</f>
        <v>100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6"/>
      <c r="J182" s="616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6"/>
      <c r="J183" s="616"/>
      <c r="K183" s="92"/>
      <c r="L183" s="92">
        <f t="shared" ca="1" si="43"/>
        <v>64500</v>
      </c>
      <c r="M183" s="92">
        <f t="shared" ca="1" si="43"/>
        <v>64500</v>
      </c>
      <c r="N183" s="92">
        <f t="shared" ca="1" si="43"/>
        <v>64500</v>
      </c>
      <c r="O183" s="92">
        <f t="shared" ca="1" si="41"/>
        <v>100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64500</v>
      </c>
      <c r="M184" s="497">
        <f ca="1">M185+M186</f>
        <v>64500</v>
      </c>
      <c r="N184" s="497">
        <f ca="1">N185+N186</f>
        <v>64500</v>
      </c>
      <c r="O184" s="497">
        <f t="shared" ca="1" si="41"/>
        <v>100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IFERROR(__xludf.DUMMYFUNCTION("IMPORTRANGE(""https://docs.google.com/spreadsheets/d/1MeEWN-I1oV_STSDYn1IFDPWt_1FKiwhDph83XaGc0o0/edit?usp=sharing"",""งบพรบ!CO88"")"),64500)</f>
        <v>64500</v>
      </c>
      <c r="M186" s="92">
        <f ca="1">IFERROR(__xludf.DUMMYFUNCTION("IMPORTRANGE(""https://docs.google.com/spreadsheets/d/1MeEWN-I1oV_STSDYn1IFDPWt_1FKiwhDph83XaGc0o0/edit?usp=sharing"",""งบพรบ!CT88"")"),64500)</f>
        <v>64500</v>
      </c>
      <c r="N186" s="92">
        <f ca="1">IFERROR(__xludf.DUMMYFUNCTION("IMPORTRANGE(""https://docs.google.com/spreadsheets/d/1MeEWN-I1oV_STSDYn1IFDPWt_1FKiwhDph83XaGc0o0/edit?usp=sharing"",""งบพรบ!CV88"")"),64500)</f>
        <v>64500</v>
      </c>
      <c r="O186" s="92">
        <f t="shared" ca="1" si="41"/>
        <v>100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IFERROR(__xludf.DUMMYFUNCTION("IMPORTRANGE(""https://docs.google.com/spreadsheets/d/1MeEWN-I1oV_STSDYn1IFDPWt_1FKiwhDph83XaGc0o0/edit?usp=sharing"",""งบพรบ!CR88"")"),0)</f>
        <v>0</v>
      </c>
      <c r="M189" s="92">
        <f ca="1">IFERROR(__xludf.DUMMYFUNCTION("IMPORTRANGE(""https://docs.google.com/spreadsheets/d/1MeEWN-I1oV_STSDYn1IFDPWt_1FKiwhDph83XaGc0o0/edit?usp=sharing"",""งบพรบ!CU88"")"),0)</f>
        <v>0</v>
      </c>
      <c r="N189" s="92">
        <f ca="1">IFERROR(__xludf.DUMMYFUNCTION("IMPORTRANGE(""https://docs.google.com/spreadsheets/d/1MeEWN-I1oV_STSDYn1IFDPWt_1FKiwhDph83XaGc0o0/edit?usp=sharing"",""งบพรบ!CW88"")"),0)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54" t="s">
        <v>17</v>
      </c>
      <c r="E191" s="147"/>
      <c r="F191" s="147"/>
      <c r="G191" s="150"/>
      <c r="H191" s="274" t="s">
        <v>12</v>
      </c>
      <c r="I191" s="420"/>
      <c r="J191" s="420"/>
      <c r="K191" s="153"/>
      <c r="L191" s="154">
        <f ca="1">IFERROR(__xludf.DUMMYFUNCTION("IMPORTRANGE(""https://docs.google.com/spreadsheets/d/1QqKyyYR6Q21VydFLVH3TRQUabQu_ym0Zz7PgGX0-kHA/edit?usp=sharing"",""แผน!Z88"")"),6000)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47" t="s">
        <v>38</v>
      </c>
      <c r="E192" s="172"/>
      <c r="F192" s="172"/>
      <c r="G192" s="173"/>
      <c r="H192" s="761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7" t="s">
        <v>91</v>
      </c>
      <c r="E193" s="177"/>
      <c r="F193" s="177"/>
      <c r="G193" s="178"/>
      <c r="H193" s="763" t="s">
        <v>90</v>
      </c>
      <c r="I193" s="269">
        <f ca="1">IFERROR(__xludf.DUMMYFUNCTION("IMPORTRANGE(""https://docs.google.com/spreadsheets/d/1QqKyyYR6Q21VydFLVH3TRQUabQu_ym0Zz7PgGX0-kHA/edit?usp=sharing"",""แผน!AC88"")"),4)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7" t="s">
        <v>92</v>
      </c>
      <c r="E194" s="177"/>
      <c r="F194" s="177"/>
      <c r="G194" s="178"/>
      <c r="H194" s="276" t="s">
        <v>35</v>
      </c>
      <c r="I194" s="269"/>
      <c r="J194" s="269">
        <f>J195+J196</f>
        <v>100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7" t="s">
        <v>93</v>
      </c>
      <c r="F195" s="177"/>
      <c r="G195" s="178"/>
      <c r="H195" s="276" t="s">
        <v>35</v>
      </c>
      <c r="I195" s="269"/>
      <c r="J195" s="214">
        <v>100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7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4</v>
      </c>
      <c r="J197" s="271">
        <f>J204</f>
        <v>4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54" t="s">
        <v>17</v>
      </c>
      <c r="E198" s="147"/>
      <c r="F198" s="147"/>
      <c r="G198" s="150"/>
      <c r="H198" s="274" t="s">
        <v>12</v>
      </c>
      <c r="I198" s="419"/>
      <c r="J198" s="419"/>
      <c r="K198" s="279"/>
      <c r="L198" s="154">
        <f ca="1">L199+L200+L201+L202</f>
        <v>52000</v>
      </c>
      <c r="M198" s="154"/>
      <c r="N198" s="154">
        <f>N199+N200+N201+N202</f>
        <v>52000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IFERROR(__xludf.DUMMYFUNCTION("IMPORTRANGE(""https://docs.google.com/spreadsheets/d/1QqKyyYR6Q21VydFLVH3TRQUabQu_ym0Zz7PgGX0-kHA/edit?usp=sharing"",""แผน!AE88"")"),4000)</f>
        <v>4000</v>
      </c>
      <c r="M199" s="497"/>
      <c r="N199" s="826">
        <v>4000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3"/>
      <c r="B200" s="280"/>
      <c r="C200" s="210"/>
      <c r="D200" s="281" t="s">
        <v>98</v>
      </c>
      <c r="E200" s="32"/>
      <c r="F200" s="32"/>
      <c r="G200" s="34"/>
      <c r="H200" s="622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IFERROR(__xludf.DUMMYFUNCTION("IMPORTRANGE(""https://docs.google.com/spreadsheets/d/1QqKyyYR6Q21VydFLVH3TRQUabQu_ym0Zz7PgGX0-kHA/edit?usp=sharing"",""แผน!AF88"")"),32000)</f>
        <v>32000</v>
      </c>
      <c r="M200" s="497"/>
      <c r="N200" s="826">
        <v>32000</v>
      </c>
      <c r="O200" s="497"/>
      <c r="P200" s="497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2"/>
      <c r="F201" s="32"/>
      <c r="G201" s="34"/>
      <c r="H201" s="622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IFERROR(__xludf.DUMMYFUNCTION("IMPORTRANGE(""https://docs.google.com/spreadsheets/d/1QqKyyYR6Q21VydFLVH3TRQUabQu_ym0Zz7PgGX0-kHA/edit?usp=sharing"",""แผน!AG88"")"),16000)</f>
        <v>16000</v>
      </c>
      <c r="M201" s="497"/>
      <c r="N201" s="826">
        <v>16000</v>
      </c>
      <c r="O201" s="497"/>
      <c r="P201" s="497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2"/>
      <c r="F202" s="32"/>
      <c r="G202" s="34"/>
      <c r="H202" s="622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IFERROR(__xludf.DUMMYFUNCTION("IMPORTRANGE(""https://docs.google.com/spreadsheets/d/1QqKyyYR6Q21VydFLVH3TRQUabQu_ym0Zz7PgGX0-kHA/edit?usp=sharing"",""แผน!AH88"")"),0)</f>
        <v>0</v>
      </c>
      <c r="M202" s="497"/>
      <c r="N202" s="826">
        <v>0</v>
      </c>
      <c r="O202" s="497"/>
      <c r="P202" s="497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69"/>
      <c r="B203" s="170"/>
      <c r="C203" s="210" t="s">
        <v>16</v>
      </c>
      <c r="D203" s="847" t="s">
        <v>38</v>
      </c>
      <c r="E203" s="172"/>
      <c r="F203" s="172"/>
      <c r="G203" s="173"/>
      <c r="H203" s="761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61" t="s">
        <v>96</v>
      </c>
      <c r="I204" s="269">
        <f ca="1">IFERROR(__xludf.DUMMYFUNCTION("IMPORTRANGE(""https://docs.google.com/spreadsheets/d/1QqKyyYR6Q21VydFLVH3TRQUabQu_ym0Zz7PgGX0-kHA/edit?usp=sharing"",""แผน!AI88"")"),4)</f>
        <v>4</v>
      </c>
      <c r="J204" s="214">
        <v>4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7" t="s">
        <v>59</v>
      </c>
      <c r="E205" s="177"/>
      <c r="F205" s="177"/>
      <c r="G205" s="178"/>
      <c r="H205" s="761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31" t="s">
        <v>102</v>
      </c>
      <c r="F206" s="286"/>
      <c r="G206" s="287"/>
      <c r="H206" s="288" t="s">
        <v>96</v>
      </c>
      <c r="I206" s="269">
        <v>4</v>
      </c>
      <c r="J206" s="214">
        <v>4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7"/>
      <c r="E207" s="447" t="s">
        <v>103</v>
      </c>
      <c r="F207" s="177"/>
      <c r="G207" s="177"/>
      <c r="H207" s="289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54" t="s">
        <v>17</v>
      </c>
      <c r="E209" s="147"/>
      <c r="F209" s="147"/>
      <c r="G209" s="150"/>
      <c r="H209" s="274" t="s">
        <v>12</v>
      </c>
      <c r="I209" s="419"/>
      <c r="J209" s="419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IFERROR(__xludf.DUMMYFUNCTION("IMPORTRANGE(""https://docs.google.com/spreadsheets/d/1QqKyyYR6Q21VydFLVH3TRQUabQu_ym0Zz7PgGX0-kHA/edit?usp=sharing"",""แผน!AK88"")"),0)</f>
        <v>0</v>
      </c>
      <c r="M210" s="497"/>
      <c r="N210" s="826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3"/>
      <c r="B211" s="280"/>
      <c r="C211" s="291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IFERROR(__xludf.DUMMYFUNCTION("IMPORTRANGE(""https://docs.google.com/spreadsheets/d/1QqKyyYR6Q21VydFLVH3TRQUabQu_ym0Zz7PgGX0-kHA/edit?usp=sharing"",""แผน!AL88"")"),0)</f>
        <v>0</v>
      </c>
      <c r="M211" s="497"/>
      <c r="N211" s="826">
        <v>0</v>
      </c>
      <c r="O211" s="497"/>
      <c r="P211" s="497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IFERROR(__xludf.DUMMYFUNCTION("IMPORTRANGE(""https://docs.google.com/spreadsheets/d/1QqKyyYR6Q21VydFLVH3TRQUabQu_ym0Zz7PgGX0-kHA/edit?usp=sharing"",""แผน!AM88"")"),0)</f>
        <v>0</v>
      </c>
      <c r="M212" s="497"/>
      <c r="N212" s="826">
        <v>0</v>
      </c>
      <c r="O212" s="497"/>
      <c r="P212" s="497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69"/>
      <c r="B213" s="170"/>
      <c r="C213" s="291" t="s">
        <v>16</v>
      </c>
      <c r="D213" s="847" t="s">
        <v>38</v>
      </c>
      <c r="E213" s="172"/>
      <c r="F213" s="172"/>
      <c r="G213" s="173"/>
      <c r="H213" s="761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61" t="s">
        <v>96</v>
      </c>
      <c r="I214" s="269">
        <f ca="1">IFERROR(__xludf.DUMMYFUNCTION("IMPORTRANGE(""https://docs.google.com/spreadsheets/d/1QqKyyYR6Q21VydFLVH3TRQUabQu_ym0Zz7PgGX0-kHA/edit?usp=sharing"",""แผน!AN88"")"),0)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61" t="s">
        <v>96</v>
      </c>
      <c r="I215" s="269">
        <f ca="1">IFERROR(__xludf.DUMMYFUNCTION("IMPORTRANGE(""https://docs.google.com/spreadsheets/d/1QqKyyYR6Q21VydFLVH3TRQUabQu_ym0Zz7PgGX0-kHA/edit?usp=sharing"",""แผน!AN88"")"),0)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ca="1">I224</f>
        <v>10000</v>
      </c>
      <c r="J216" s="271">
        <f>J224</f>
        <v>10000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54" t="s">
        <v>17</v>
      </c>
      <c r="E217" s="147"/>
      <c r="F217" s="147"/>
      <c r="G217" s="150"/>
      <c r="H217" s="274" t="s">
        <v>12</v>
      </c>
      <c r="I217" s="419"/>
      <c r="J217" s="419"/>
      <c r="K217" s="279"/>
      <c r="L217" s="154">
        <f ca="1">L218+L219+L220</f>
        <v>6500</v>
      </c>
      <c r="M217" s="154"/>
      <c r="N217" s="154">
        <f>N218+N219+N220</f>
        <v>6500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IFERROR(__xludf.DUMMYFUNCTION("IMPORTRANGE(""https://docs.google.com/spreadsheets/d/1QqKyyYR6Q21VydFLVH3TRQUabQu_ym0Zz7PgGX0-kHA/edit?usp=sharing"",""แผน!AP88"")"),3000)</f>
        <v>3000</v>
      </c>
      <c r="M218" s="497"/>
      <c r="N218" s="826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3"/>
      <c r="B219" s="280"/>
      <c r="C219" s="291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IFERROR(__xludf.DUMMYFUNCTION("IMPORTRANGE(""https://docs.google.com/spreadsheets/d/1QqKyyYR6Q21VydFLVH3TRQUabQu_ym0Zz7PgGX0-kHA/edit?usp=sharing"",""แผน!AQ88"")"),3500)</f>
        <v>3500</v>
      </c>
      <c r="M219" s="497"/>
      <c r="N219" s="826">
        <v>3500</v>
      </c>
      <c r="O219" s="497"/>
      <c r="P219" s="497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IFERROR(__xludf.DUMMYFUNCTION("IMPORTRANGE(""https://docs.google.com/spreadsheets/d/1QqKyyYR6Q21VydFLVH3TRQUabQu_ym0Zz7PgGX0-kHA/edit?usp=sharing"",""แผน!AR88"")"),0)</f>
        <v>0</v>
      </c>
      <c r="M220" s="497"/>
      <c r="N220" s="826">
        <v>0</v>
      </c>
      <c r="O220" s="497"/>
      <c r="P220" s="497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69"/>
      <c r="B221" s="170"/>
      <c r="C221" s="291" t="s">
        <v>16</v>
      </c>
      <c r="D221" s="847" t="s">
        <v>38</v>
      </c>
      <c r="E221" s="172"/>
      <c r="F221" s="172"/>
      <c r="G221" s="173"/>
      <c r="H221" s="761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61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63" t="s">
        <v>109</v>
      </c>
      <c r="I223" s="269">
        <f ca="1">IFERROR(__xludf.DUMMYFUNCTION("IMPORTRANGE(""https://docs.google.com/spreadsheets/d/1QqKyyYR6Q21VydFLVH3TRQUabQu_ym0Zz7PgGX0-kHA/edit?usp=sharing"",""แผน!AT88"")"),10000)</f>
        <v>10000</v>
      </c>
      <c r="J223" s="214">
        <v>10000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63" t="s">
        <v>109</v>
      </c>
      <c r="I224" s="269">
        <f ca="1">IFERROR(__xludf.DUMMYFUNCTION("IMPORTRANGE(""https://docs.google.com/spreadsheets/d/1QqKyyYR6Q21VydFLVH3TRQUabQu_ym0Zz7PgGX0-kHA/edit?usp=sharing"",""แผน!AT88"")"),10000)</f>
        <v>10000</v>
      </c>
      <c r="J224" s="214">
        <v>10000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63" t="s">
        <v>35</v>
      </c>
      <c r="I225" s="269">
        <f ca="1">IFERROR(__xludf.DUMMYFUNCTION("IMPORTRANGE(""https://docs.google.com/spreadsheets/d/1QqKyyYR6Q21VydFLVH3TRQUabQu_ym0Zz7PgGX0-kHA/edit?usp=sharing"",""แผน!AS88"")"),0)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0</v>
      </c>
      <c r="J226" s="344">
        <f>J237+J248</f>
        <v>0</v>
      </c>
      <c r="K226" s="345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0</v>
      </c>
      <c r="M227" s="355"/>
      <c r="N227" s="355">
        <f>N238+N249</f>
        <v>0</v>
      </c>
      <c r="O227" s="855"/>
      <c r="P227" s="85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6"/>
      <c r="J229" s="616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6"/>
      <c r="J230" s="616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6"/>
      <c r="J231" s="616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6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6">
        <f ca="1">I244+I255</f>
        <v>0</v>
      </c>
      <c r="J233" s="616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6"/>
      <c r="J234" s="616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6">
        <f>I246+I257</f>
        <v>0</v>
      </c>
      <c r="J235" s="616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6">
        <f>I247+I258</f>
        <v>0</v>
      </c>
      <c r="J236" s="616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270" t="s">
        <v>332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46" t="s">
        <v>17</v>
      </c>
      <c r="E238" s="147"/>
      <c r="F238" s="147"/>
      <c r="G238" s="150"/>
      <c r="H238" s="274" t="s">
        <v>12</v>
      </c>
      <c r="I238" s="419"/>
      <c r="J238" s="419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IFERROR(__xludf.DUMMYFUNCTION("IMPORTRANGE(""https://docs.google.com/spreadsheets/d/1QqKyyYR6Q21VydFLVH3TRQUabQu_ym0Zz7PgGX0-kHA/edit?usp=sharing"",""แผน!AV88"")"),0)</f>
        <v>0</v>
      </c>
      <c r="M239" s="321"/>
      <c r="N239" s="853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IFERROR(__xludf.DUMMYFUNCTION("IMPORTRANGE(""https://docs.google.com/spreadsheets/d/1QqKyyYR6Q21VydFLVH3TRQUabQu_ym0Zz7PgGX0-kHA/edit?usp=sharing"",""แผน!AW88"")"),0)</f>
        <v>0</v>
      </c>
      <c r="M240" s="321"/>
      <c r="N240" s="853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IFERROR(__xludf.DUMMYFUNCTION("IMPORTRANGE(""https://docs.google.com/spreadsheets/d/1QqKyyYR6Q21VydFLVH3TRQUabQu_ym0Zz7PgGX0-kHA/edit?usp=sharing"",""แผน!AX88"")"),0)</f>
        <v>0</v>
      </c>
      <c r="M241" s="321"/>
      <c r="N241" s="853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IFERROR(__xludf.DUMMYFUNCTION("IMPORTRANGE(""https://docs.google.com/spreadsheets/d/1QqKyyYR6Q21VydFLVH3TRQUabQu_ym0Zz7PgGX0-kHA/edit?usp=sharing"",""แผน!AY88"")"),0)</f>
        <v>0</v>
      </c>
      <c r="M242" s="321"/>
      <c r="N242" s="853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1" t="s">
        <v>16</v>
      </c>
      <c r="D243" s="847" t="s">
        <v>38</v>
      </c>
      <c r="E243" s="172"/>
      <c r="F243" s="172"/>
      <c r="G243" s="173"/>
      <c r="H243" s="761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47" t="s">
        <v>117</v>
      </c>
      <c r="E244" s="177"/>
      <c r="F244" s="177"/>
      <c r="G244" s="178"/>
      <c r="H244" s="763" t="s">
        <v>35</v>
      </c>
      <c r="I244" s="269">
        <f ca="1">IFERROR(__xludf.DUMMYFUNCTION("IMPORTRANGE(""https://docs.google.com/spreadsheets/d/1QqKyyYR6Q21VydFLVH3TRQUabQu_ym0Zz7PgGX0-kHA/edit?usp=sharing"",""แผน!BE88"")"),0)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852" t="s">
        <v>43</v>
      </c>
      <c r="E245" s="177"/>
      <c r="F245" s="177"/>
      <c r="G245" s="178"/>
      <c r="H245" s="763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175" t="s">
        <v>118</v>
      </c>
      <c r="F246" s="177"/>
      <c r="G246" s="178"/>
      <c r="H246" s="763" t="s">
        <v>35</v>
      </c>
      <c r="I246" s="269"/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763" t="s">
        <v>66</v>
      </c>
      <c r="I247" s="269"/>
      <c r="J247" s="214">
        <v>0</v>
      </c>
      <c r="K247" s="497">
        <f>IF(I247&gt;0,J247*100/I247,0)</f>
        <v>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54" t="s">
        <v>17</v>
      </c>
      <c r="E249" s="147"/>
      <c r="F249" s="147"/>
      <c r="G249" s="150"/>
      <c r="H249" s="274" t="s">
        <v>12</v>
      </c>
      <c r="I249" s="419"/>
      <c r="J249" s="419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IFERROR(__xludf.DUMMYFUNCTION("IMPORTRANGE(""https://docs.google.com/spreadsheets/d/1QqKyyYR6Q21VydFLVH3TRQUabQu_ym0Zz7PgGX0-kHA/edit?usp=sharing"",""แผน!AZ88"")"),0)</f>
        <v>0</v>
      </c>
      <c r="M250" s="321"/>
      <c r="N250" s="853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IFERROR(__xludf.DUMMYFUNCTION("IMPORTRANGE(""https://docs.google.com/spreadsheets/d/1QqKyyYR6Q21VydFLVH3TRQUabQu_ym0Zz7PgGX0-kHA/edit?usp=sharing"",""แผน!BA88"")"),0)</f>
        <v>0</v>
      </c>
      <c r="M251" s="321"/>
      <c r="N251" s="853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IFERROR(__xludf.DUMMYFUNCTION("IMPORTRANGE(""https://docs.google.com/spreadsheets/d/1QqKyyYR6Q21VydFLVH3TRQUabQu_ym0Zz7PgGX0-kHA/edit?usp=sharing"",""แผน!BB88"")"),0)</f>
        <v>0</v>
      </c>
      <c r="M252" s="321"/>
      <c r="N252" s="853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IFERROR(__xludf.DUMMYFUNCTION("IMPORTRANGE(""https://docs.google.com/spreadsheets/d/1QqKyyYR6Q21VydFLVH3TRQUabQu_ym0Zz7PgGX0-kHA/edit?usp=sharing"",""แผน!BC88"")"),0)</f>
        <v>0</v>
      </c>
      <c r="M253" s="321"/>
      <c r="N253" s="853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1" t="s">
        <v>16</v>
      </c>
      <c r="D254" s="847" t="s">
        <v>38</v>
      </c>
      <c r="E254" s="172"/>
      <c r="F254" s="172"/>
      <c r="G254" s="173"/>
      <c r="H254" s="761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7" t="s">
        <v>117</v>
      </c>
      <c r="E255" s="177"/>
      <c r="F255" s="177"/>
      <c r="G255" s="178"/>
      <c r="H255" s="763" t="s">
        <v>35</v>
      </c>
      <c r="I255" s="269">
        <f ca="1">IFERROR(__xludf.DUMMYFUNCTION("IMPORTRANGE(""https://docs.google.com/spreadsheets/d/1QqKyyYR6Q21VydFLVH3TRQUabQu_ym0Zz7PgGX0-kHA/edit?usp=sharing"",""แผน!BF88"")"),0)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52" t="s">
        <v>43</v>
      </c>
      <c r="E256" s="177"/>
      <c r="F256" s="177"/>
      <c r="G256" s="178"/>
      <c r="H256" s="763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63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63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20</v>
      </c>
      <c r="J260" s="252">
        <f>J271</f>
        <v>20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46" t="s">
        <v>17</v>
      </c>
      <c r="E261" s="147"/>
      <c r="F261" s="147"/>
      <c r="G261" s="150"/>
      <c r="H261" s="151" t="s">
        <v>12</v>
      </c>
      <c r="I261" s="420"/>
      <c r="J261" s="420"/>
      <c r="K261" s="153"/>
      <c r="L261" s="154">
        <f ca="1">L262+L263</f>
        <v>25000</v>
      </c>
      <c r="M261" s="154">
        <f ca="1">M262+M263</f>
        <v>25000</v>
      </c>
      <c r="N261" s="154">
        <f ca="1">N262+N263</f>
        <v>25000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6"/>
      <c r="J262" s="616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6"/>
      <c r="J263" s="616"/>
      <c r="K263" s="92"/>
      <c r="L263" s="92">
        <f t="shared" ca="1" si="46"/>
        <v>25000</v>
      </c>
      <c r="M263" s="92">
        <f t="shared" ca="1" si="46"/>
        <v>25000</v>
      </c>
      <c r="N263" s="92">
        <f t="shared" ca="1" si="46"/>
        <v>25000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25000</v>
      </c>
      <c r="M264" s="497">
        <f ca="1">M265+M266</f>
        <v>25000</v>
      </c>
      <c r="N264" s="497">
        <f ca="1">N265+N266</f>
        <v>25000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IFERROR(__xludf.DUMMYFUNCTION("IMPORTRANGE(""https://docs.google.com/spreadsheets/d/1MeEWN-I1oV_STSDYn1IFDPWt_1FKiwhDph83XaGc0o0/edit?usp=sharing"",""งบพรบ!CY88"")"),25000)</f>
        <v>25000</v>
      </c>
      <c r="M266" s="92">
        <f ca="1">IFERROR(__xludf.DUMMYFUNCTION("IMPORTRANGE(""https://docs.google.com/spreadsheets/d/1MeEWN-I1oV_STSDYn1IFDPWt_1FKiwhDph83XaGc0o0/edit?usp=sharing"",""งบพรบ!DD88"")"),25000)</f>
        <v>25000</v>
      </c>
      <c r="N266" s="92">
        <f ca="1">IFERROR(__xludf.DUMMYFUNCTION("IMPORTRANGE(""https://docs.google.com/spreadsheets/d/1MeEWN-I1oV_STSDYn1IFDPWt_1FKiwhDph83XaGc0o0/edit?usp=sharing"",""งบพรบ!DF88"")"),25000)</f>
        <v>25000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IFERROR(__xludf.DUMMYFUNCTION("IMPORTRANGE(""https://docs.google.com/spreadsheets/d/1MeEWN-I1oV_STSDYn1IFDPWt_1FKiwhDph83XaGc0o0/edit?usp=sharing"",""งบพรบ!DB88"")"),0)</f>
        <v>0</v>
      </c>
      <c r="M269" s="92">
        <f ca="1">IFERROR(__xludf.DUMMYFUNCTION("IMPORTRANGE(""https://docs.google.com/spreadsheets/d/1MeEWN-I1oV_STSDYn1IFDPWt_1FKiwhDph83XaGc0o0/edit?usp=sharing"",""งบพรบ!DE88"")"),0)</f>
        <v>0</v>
      </c>
      <c r="N269" s="92">
        <f ca="1">IFERROR(__xludf.DUMMYFUNCTION("IMPORTRANGE(""https://docs.google.com/spreadsheets/d/1MeEWN-I1oV_STSDYn1IFDPWt_1FKiwhDph83XaGc0o0/edit?usp=sharing"",""งบพรบ!DG88"")"),0)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47" t="s">
        <v>38</v>
      </c>
      <c r="E270" s="172"/>
      <c r="F270" s="172"/>
      <c r="G270" s="173"/>
      <c r="H270" s="761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IFERROR(__xludf.DUMMYFUNCTION("IMPORTRANGE(""https://docs.google.com/spreadsheets/d/1QqKyyYR6Q21VydFLVH3TRQUabQu_ym0Zz7PgGX0-kHA/edit?usp=sharing"",""แผน!EA88"")"),20)</f>
        <v>20</v>
      </c>
      <c r="J271" s="214">
        <v>20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5">
        <v>0</v>
      </c>
      <c r="J272" s="505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10</v>
      </c>
      <c r="J275" s="405">
        <f ca="1">J288</f>
        <v>10</v>
      </c>
      <c r="K275" s="406">
        <f ca="1">IF(I275&gt;0,J275*100/I275,0)</f>
        <v>100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9">
        <f ca="1">I287</f>
        <v>100</v>
      </c>
      <c r="J276" s="409">
        <f>J287</f>
        <v>100</v>
      </c>
      <c r="K276" s="407">
        <f ca="1">IF(I276&gt;0,J276*100/I276,0)</f>
        <v>100</v>
      </c>
      <c r="L276" s="407"/>
      <c r="M276" s="407"/>
      <c r="N276" s="407"/>
      <c r="O276" s="407"/>
      <c r="P276" s="407"/>
    </row>
    <row r="277" spans="1:26" ht="19.5">
      <c r="A277" s="146"/>
      <c r="B277" s="147"/>
      <c r="C277" s="148" t="s">
        <v>16</v>
      </c>
      <c r="D277" s="846" t="s">
        <v>17</v>
      </c>
      <c r="E277" s="147"/>
      <c r="F277" s="147"/>
      <c r="G277" s="150"/>
      <c r="H277" s="151" t="s">
        <v>12</v>
      </c>
      <c r="I277" s="420"/>
      <c r="J277" s="420"/>
      <c r="K277" s="153"/>
      <c r="L277" s="154">
        <f ca="1">L278+L279</f>
        <v>41010</v>
      </c>
      <c r="M277" s="154">
        <f ca="1">M278+M279</f>
        <v>41010</v>
      </c>
      <c r="N277" s="154">
        <f ca="1">N278+N279</f>
        <v>41010</v>
      </c>
      <c r="O277" s="154">
        <f t="shared" ref="O277:O285" ca="1" si="47">IF(L277&gt;0,N277*100/L277,0)</f>
        <v>100</v>
      </c>
      <c r="P277" s="154">
        <f t="shared" ref="P277:P285" ca="1" si="48">IF(M277&gt;0,N277*100/M277,0)</f>
        <v>100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6"/>
      <c r="J278" s="616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6"/>
      <c r="J279" s="616"/>
      <c r="K279" s="92"/>
      <c r="L279" s="92">
        <f t="shared" ca="1" si="49"/>
        <v>41010</v>
      </c>
      <c r="M279" s="92">
        <f t="shared" ca="1" si="49"/>
        <v>41010</v>
      </c>
      <c r="N279" s="92">
        <f t="shared" ca="1" si="49"/>
        <v>41010</v>
      </c>
      <c r="O279" s="92">
        <f t="shared" ca="1" si="47"/>
        <v>100</v>
      </c>
      <c r="P279" s="92">
        <f t="shared" ca="1" si="48"/>
        <v>100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41010</v>
      </c>
      <c r="M280" s="497">
        <f ca="1">M281+M282</f>
        <v>41010</v>
      </c>
      <c r="N280" s="497">
        <f ca="1">N281+N282</f>
        <v>41010</v>
      </c>
      <c r="O280" s="497">
        <f t="shared" ca="1" si="47"/>
        <v>100</v>
      </c>
      <c r="P280" s="497">
        <f t="shared" ca="1" si="48"/>
        <v>100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IFERROR(__xludf.DUMMYFUNCTION("IMPORTRANGE(""https://docs.google.com/spreadsheets/d/1MeEWN-I1oV_STSDYn1IFDPWt_1FKiwhDph83XaGc0o0/edit?usp=sharing"",""งบพรบ!DI88"")"),41010)</f>
        <v>41010</v>
      </c>
      <c r="M282" s="92">
        <f ca="1">IFERROR(__xludf.DUMMYFUNCTION("IMPORTRANGE(""https://docs.google.com/spreadsheets/d/1MeEWN-I1oV_STSDYn1IFDPWt_1FKiwhDph83XaGc0o0/edit?usp=sharing"",""งบพรบ!DN88"")"),41010)</f>
        <v>41010</v>
      </c>
      <c r="N282" s="92">
        <f ca="1">IFERROR(__xludf.DUMMYFUNCTION("IMPORTRANGE(""https://docs.google.com/spreadsheets/d/1MeEWN-I1oV_STSDYn1IFDPWt_1FKiwhDph83XaGc0o0/edit?usp=sharing"",""งบพรบ!DP88"")"),41010)</f>
        <v>41010</v>
      </c>
      <c r="O282" s="92">
        <f t="shared" ca="1" si="47"/>
        <v>100</v>
      </c>
      <c r="P282" s="92">
        <f t="shared" ca="1" si="48"/>
        <v>100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IFERROR(__xludf.DUMMYFUNCTION("IMPORTRANGE(""https://docs.google.com/spreadsheets/d/1MeEWN-I1oV_STSDYn1IFDPWt_1FKiwhDph83XaGc0o0/edit?usp=sharing"",""งบพรบ!DL88"")"),0)</f>
        <v>0</v>
      </c>
      <c r="M285" s="92">
        <f ca="1">IFERROR(__xludf.DUMMYFUNCTION("IMPORTRANGE(""https://docs.google.com/spreadsheets/d/1MeEWN-I1oV_STSDYn1IFDPWt_1FKiwhDph83XaGc0o0/edit?usp=sharing"",""งบพรบ!DO88"")"),0)</f>
        <v>0</v>
      </c>
      <c r="N285" s="92">
        <f ca="1">IFERROR(__xludf.DUMMYFUNCTION("IMPORTRANGE(""https://docs.google.com/spreadsheets/d/1MeEWN-I1oV_STSDYn1IFDPWt_1FKiwhDph83XaGc0o0/edit?usp=sharing"",""งบพรบ!DQ88"")"),0)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47" t="s">
        <v>38</v>
      </c>
      <c r="E286" s="172"/>
      <c r="F286" s="172"/>
      <c r="G286" s="173"/>
      <c r="H286" s="761"/>
      <c r="I286" s="183"/>
      <c r="J286" s="183"/>
      <c r="K286" s="162"/>
      <c r="L286" s="162"/>
      <c r="M286" s="162"/>
      <c r="N286" s="162"/>
      <c r="O286" s="162"/>
      <c r="P286" s="162"/>
    </row>
    <row r="287" spans="1:26" ht="18.75">
      <c r="A287" s="169"/>
      <c r="B287" s="170"/>
      <c r="C287" s="170"/>
      <c r="D287" s="625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IFERROR(__xludf.DUMMYFUNCTION("IMPORTRANGE(""https://docs.google.com/spreadsheets/d/1QqKyyYR6Q21VydFLVH3TRQUabQu_ym0Zz7PgGX0-kHA/edit?usp=sharing"",""แผน!EC88"")"),100)</f>
        <v>100</v>
      </c>
      <c r="J287" s="214">
        <v>100</v>
      </c>
      <c r="K287" s="162">
        <f ca="1">IF(I287&gt;0,J287*100/I287,0)</f>
        <v>100</v>
      </c>
      <c r="L287" s="162"/>
      <c r="M287" s="162"/>
      <c r="N287" s="162"/>
      <c r="O287" s="162"/>
      <c r="P287" s="162"/>
    </row>
    <row r="288" spans="1:26" ht="19.5">
      <c r="A288" s="169"/>
      <c r="B288" s="170"/>
      <c r="C288" s="170"/>
      <c r="D288" s="625" t="s">
        <v>130</v>
      </c>
      <c r="E288" s="170"/>
      <c r="F288" s="177"/>
      <c r="G288" s="178"/>
      <c r="H288" s="179" t="s">
        <v>35</v>
      </c>
      <c r="I288" s="680">
        <f ca="1">IFERROR(__xludf.DUMMYFUNCTION("IMPORTRANGE(""https://docs.google.com/spreadsheets/d/1QqKyyYR6Q21VydFLVH3TRQUabQu_ym0Zz7PgGX0-kHA/edit?usp=sharing"",""แผน!EB88"")"),10)</f>
        <v>10</v>
      </c>
      <c r="J288" s="680">
        <f ca="1">IF(AND(J291&gt;=I288,J294&gt;=I288),J294,0)</f>
        <v>10</v>
      </c>
      <c r="K288" s="411">
        <f ca="1">IF(I288&gt;0,J288*100/I288,0)</f>
        <v>100</v>
      </c>
      <c r="L288" s="162"/>
      <c r="M288" s="162"/>
      <c r="N288" s="162"/>
      <c r="O288" s="162"/>
      <c r="P288" s="162"/>
    </row>
    <row r="289" spans="1:26" ht="19.5">
      <c r="A289" s="169"/>
      <c r="B289" s="170"/>
      <c r="C289" s="170"/>
      <c r="D289" s="412"/>
      <c r="E289" s="413" t="s">
        <v>131</v>
      </c>
      <c r="F289" s="177"/>
      <c r="G289" s="178"/>
      <c r="H289" s="763"/>
      <c r="I289" s="183"/>
      <c r="J289" s="269"/>
      <c r="K289" s="162"/>
      <c r="L289" s="162"/>
      <c r="M289" s="162"/>
      <c r="N289" s="162"/>
      <c r="O289" s="162"/>
      <c r="P289" s="162"/>
    </row>
    <row r="290" spans="1:26" ht="19.5">
      <c r="A290" s="169"/>
      <c r="B290" s="170"/>
      <c r="C290" s="170"/>
      <c r="D290" s="412"/>
      <c r="E290" s="625" t="s">
        <v>132</v>
      </c>
      <c r="F290" s="177"/>
      <c r="G290" s="178"/>
      <c r="H290" s="763" t="s">
        <v>35</v>
      </c>
      <c r="I290" s="183">
        <f ca="1">IFERROR(__xludf.DUMMYFUNCTION("IMPORTRANGE(""https://docs.google.com/spreadsheets/d/1QqKyyYR6Q21VydFLVH3TRQUabQu_ym0Zz7PgGX0-kHA/edit?usp=sharing"",""แผน!EB88"")"),10)</f>
        <v>10</v>
      </c>
      <c r="J290" s="214">
        <v>10</v>
      </c>
      <c r="K290" s="162">
        <f ca="1">IF(I290&gt;0,J290*100/I290,0)</f>
        <v>100</v>
      </c>
      <c r="L290" s="162"/>
      <c r="M290" s="162"/>
      <c r="N290" s="162"/>
      <c r="O290" s="162"/>
      <c r="P290" s="162"/>
    </row>
    <row r="291" spans="1:26" ht="19.5">
      <c r="A291" s="169"/>
      <c r="B291" s="170"/>
      <c r="C291" s="170"/>
      <c r="D291" s="177"/>
      <c r="E291" s="625" t="s">
        <v>133</v>
      </c>
      <c r="F291" s="177"/>
      <c r="G291" s="178"/>
      <c r="H291" s="763" t="s">
        <v>35</v>
      </c>
      <c r="I291" s="183">
        <f ca="1">IFERROR(__xludf.DUMMYFUNCTION("IMPORTRANGE(""https://docs.google.com/spreadsheets/d/1QqKyyYR6Q21VydFLVH3TRQUabQu_ym0Zz7PgGX0-kHA/edit?usp=sharing"",""แผน!EB88"")"),10)</f>
        <v>10</v>
      </c>
      <c r="J291" s="214">
        <v>10</v>
      </c>
      <c r="K291" s="162">
        <f ca="1">IF(I291&gt;0,J291*100/I291,0)</f>
        <v>100</v>
      </c>
      <c r="L291" s="162"/>
      <c r="M291" s="162"/>
      <c r="N291" s="162"/>
      <c r="O291" s="162"/>
      <c r="P291" s="162"/>
    </row>
    <row r="292" spans="1:26" ht="19.5">
      <c r="A292" s="414"/>
      <c r="B292" s="415"/>
      <c r="C292" s="415"/>
      <c r="D292" s="416"/>
      <c r="E292" s="417" t="s">
        <v>134</v>
      </c>
      <c r="F292" s="286"/>
      <c r="G292" s="287"/>
      <c r="H292" s="418"/>
      <c r="I292" s="419"/>
      <c r="J292" s="420"/>
      <c r="K292" s="279"/>
      <c r="L292" s="279"/>
      <c r="M292" s="279"/>
      <c r="N292" s="279"/>
      <c r="O292" s="279"/>
      <c r="P292" s="279"/>
    </row>
    <row r="293" spans="1:26" ht="19.5">
      <c r="A293" s="169"/>
      <c r="B293" s="170"/>
      <c r="C293" s="170"/>
      <c r="D293" s="412"/>
      <c r="E293" s="625" t="s">
        <v>132</v>
      </c>
      <c r="F293" s="177"/>
      <c r="G293" s="178"/>
      <c r="H293" s="763" t="s">
        <v>35</v>
      </c>
      <c r="I293" s="183">
        <f ca="1">IFERROR(__xludf.DUMMYFUNCTION("IMPORTRANGE(""https://docs.google.com/spreadsheets/d/1QqKyyYR6Q21VydFLVH3TRQUabQu_ym0Zz7PgGX0-kHA/edit?usp=sharing"",""แผน!EB88"")"),10)</f>
        <v>10</v>
      </c>
      <c r="J293" s="214">
        <v>10</v>
      </c>
      <c r="K293" s="162">
        <f ca="1">IF(I293&gt;0,J293*100/I293,0)</f>
        <v>100</v>
      </c>
      <c r="L293" s="162"/>
      <c r="M293" s="162"/>
      <c r="N293" s="162"/>
      <c r="O293" s="162"/>
      <c r="P293" s="162"/>
    </row>
    <row r="294" spans="1:26" ht="19.5">
      <c r="A294" s="377"/>
      <c r="B294" s="378"/>
      <c r="C294" s="378"/>
      <c r="D294" s="380"/>
      <c r="E294" s="733" t="s">
        <v>136</v>
      </c>
      <c r="F294" s="380"/>
      <c r="G294" s="381"/>
      <c r="H294" s="422" t="s">
        <v>35</v>
      </c>
      <c r="I294" s="423">
        <f ca="1">IFERROR(__xludf.DUMMYFUNCTION("IMPORTRANGE(""https://docs.google.com/spreadsheets/d/1QqKyyYR6Q21VydFLVH3TRQUabQu_ym0Zz7PgGX0-kHA/edit?usp=sharing"",""แผน!EB88"")"),10)</f>
        <v>10</v>
      </c>
      <c r="J294" s="424">
        <v>10</v>
      </c>
      <c r="K294" s="384">
        <f ca="1">IF(I294&gt;0,J294*100/I294,0)</f>
        <v>100</v>
      </c>
      <c r="L294" s="384"/>
      <c r="M294" s="384"/>
      <c r="N294" s="384"/>
      <c r="O294" s="384"/>
      <c r="P294" s="384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20</v>
      </c>
      <c r="J297" s="444">
        <f>J309</f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6"/>
      <c r="B298" s="147"/>
      <c r="C298" s="148" t="s">
        <v>16</v>
      </c>
      <c r="D298" s="846" t="s">
        <v>17</v>
      </c>
      <c r="E298" s="147"/>
      <c r="F298" s="147"/>
      <c r="G298" s="150"/>
      <c r="H298" s="151" t="s">
        <v>12</v>
      </c>
      <c r="I298" s="420"/>
      <c r="J298" s="420"/>
      <c r="K298" s="153"/>
      <c r="L298" s="154">
        <f ca="1">L299+L300</f>
        <v>82400</v>
      </c>
      <c r="M298" s="154">
        <f ca="1">M299+M300</f>
        <v>82400</v>
      </c>
      <c r="N298" s="154">
        <f ca="1">N299+N300</f>
        <v>82400</v>
      </c>
      <c r="O298" s="154">
        <f t="shared" ref="O298:O306" ca="1" si="50">IF(L298&gt;0,N298*100/L298,0)</f>
        <v>100</v>
      </c>
      <c r="P298" s="154">
        <f t="shared" ref="P298:P306" ca="1" si="51">IF(M298&gt;0,N298*100/M298,0)</f>
        <v>100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6"/>
      <c r="J299" s="616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6"/>
      <c r="J300" s="616"/>
      <c r="K300" s="92"/>
      <c r="L300" s="92">
        <f t="shared" ca="1" si="52"/>
        <v>82400</v>
      </c>
      <c r="M300" s="92">
        <f t="shared" ca="1" si="52"/>
        <v>82400</v>
      </c>
      <c r="N300" s="92">
        <f t="shared" ca="1" si="52"/>
        <v>82400</v>
      </c>
      <c r="O300" s="92">
        <f t="shared" ca="1" si="50"/>
        <v>100</v>
      </c>
      <c r="P300" s="92">
        <f t="shared" ca="1" si="51"/>
        <v>100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82400</v>
      </c>
      <c r="M301" s="497">
        <f ca="1">M302+M303</f>
        <v>82400</v>
      </c>
      <c r="N301" s="497">
        <f ca="1">N302+N303</f>
        <v>82400</v>
      </c>
      <c r="O301" s="497">
        <f t="shared" ca="1" si="50"/>
        <v>100</v>
      </c>
      <c r="P301" s="497">
        <f t="shared" ca="1" si="51"/>
        <v>100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IFERROR(__xludf.DUMMYFUNCTION("IMPORTRANGE(""https://docs.google.com/spreadsheets/d/1MeEWN-I1oV_STSDYn1IFDPWt_1FKiwhDph83XaGc0o0/edit?usp=sharing"",""งบพรบ!DS88"")"),82400)</f>
        <v>82400</v>
      </c>
      <c r="M303" s="92">
        <f ca="1">IFERROR(__xludf.DUMMYFUNCTION("IMPORTRANGE(""https://docs.google.com/spreadsheets/d/1MeEWN-I1oV_STSDYn1IFDPWt_1FKiwhDph83XaGc0o0/edit?usp=sharing"",""งบพรบ!DX88"")"),82400)</f>
        <v>82400</v>
      </c>
      <c r="N303" s="92">
        <f ca="1">IFERROR(__xludf.DUMMYFUNCTION("IMPORTRANGE(""https://docs.google.com/spreadsheets/d/1MeEWN-I1oV_STSDYn1IFDPWt_1FKiwhDph83XaGc0o0/edit?usp=sharing"",""งบพรบ!DZ88"")"),82400)</f>
        <v>82400</v>
      </c>
      <c r="O303" s="92">
        <f t="shared" ca="1" si="50"/>
        <v>100</v>
      </c>
      <c r="P303" s="92">
        <f t="shared" ca="1" si="51"/>
        <v>100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IFERROR(__xludf.DUMMYFUNCTION("IMPORTRANGE(""https://docs.google.com/spreadsheets/d/1MeEWN-I1oV_STSDYn1IFDPWt_1FKiwhDph83XaGc0o0/edit?usp=sharing"",""งบพรบ!DV88"")"),0)</f>
        <v>0</v>
      </c>
      <c r="M306" s="92">
        <f ca="1">IFERROR(__xludf.DUMMYFUNCTION("IMPORTRANGE(""https://docs.google.com/spreadsheets/d/1MeEWN-I1oV_STSDYn1IFDPWt_1FKiwhDph83XaGc0o0/edit?usp=sharing"",""งบพรบ!DY88"")"),0)</f>
        <v>0</v>
      </c>
      <c r="N306" s="92">
        <f ca="1">IFERROR(__xludf.DUMMYFUNCTION("IMPORTRANGE(""https://docs.google.com/spreadsheets/d/1MeEWN-I1oV_STSDYn1IFDPWt_1FKiwhDph83XaGc0o0/edit?usp=sharing"",""งบพรบ!EA88"")"),0)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47" t="s">
        <v>38</v>
      </c>
      <c r="E307" s="172"/>
      <c r="F307" s="172"/>
      <c r="G307" s="173"/>
      <c r="H307" s="761"/>
      <c r="I307" s="269"/>
      <c r="J307" s="269"/>
      <c r="K307" s="497"/>
      <c r="L307" s="497"/>
      <c r="M307" s="497"/>
      <c r="N307" s="497"/>
      <c r="O307" s="497"/>
      <c r="P307" s="497"/>
    </row>
    <row r="308" spans="1:26" ht="18.75">
      <c r="A308" s="169"/>
      <c r="B308" s="170"/>
      <c r="C308" s="170"/>
      <c r="D308" s="447" t="s">
        <v>140</v>
      </c>
      <c r="E308" s="447"/>
      <c r="F308" s="447"/>
      <c r="G308" s="178"/>
      <c r="H308" s="763"/>
      <c r="I308" s="269"/>
      <c r="J308" s="214">
        <v>1</v>
      </c>
      <c r="K308" s="497"/>
      <c r="L308" s="497"/>
      <c r="M308" s="497"/>
      <c r="N308" s="497"/>
      <c r="O308" s="497"/>
      <c r="P308" s="497"/>
    </row>
    <row r="309" spans="1:26" ht="18.75">
      <c r="A309" s="169"/>
      <c r="B309" s="170"/>
      <c r="C309" s="170"/>
      <c r="D309" s="447" t="s">
        <v>141</v>
      </c>
      <c r="E309" s="447"/>
      <c r="F309" s="447"/>
      <c r="G309" s="178"/>
      <c r="H309" s="763" t="s">
        <v>35</v>
      </c>
      <c r="I309" s="269">
        <f ca="1">IFERROR(__xludf.DUMMYFUNCTION("IMPORTRANGE(""https://docs.google.com/spreadsheets/d/1QqKyyYR6Q21VydFLVH3TRQUabQu_ym0Zz7PgGX0-kHA/edit?usp=sharing"",""แผน!ED88"")"),20)</f>
        <v>20</v>
      </c>
      <c r="J309" s="214">
        <v>20</v>
      </c>
      <c r="K309" s="497">
        <f ca="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69"/>
      <c r="B310" s="170"/>
      <c r="C310" s="170"/>
      <c r="D310" s="447" t="s">
        <v>142</v>
      </c>
      <c r="E310" s="447"/>
      <c r="F310" s="447"/>
      <c r="G310" s="178"/>
      <c r="H310" s="763" t="s">
        <v>35</v>
      </c>
      <c r="I310" s="269">
        <f ca="1">IFERROR(__xludf.DUMMYFUNCTION("IMPORTRANGE(""https://docs.google.com/spreadsheets/d/1QqKyyYR6Q21VydFLVH3TRQUabQu_ym0Zz7PgGX0-kHA/edit?usp=sharing"",""แผน!ED88"")"),20)</f>
        <v>20</v>
      </c>
      <c r="J310" s="214">
        <v>20</v>
      </c>
      <c r="K310" s="497">
        <f ca="1">IF(I310&gt;0,J310*100/I310,0)</f>
        <v>100</v>
      </c>
      <c r="L310" s="497"/>
      <c r="M310" s="497"/>
      <c r="N310" s="497"/>
      <c r="O310" s="497"/>
      <c r="P310" s="497"/>
    </row>
    <row r="311" spans="1:26" ht="18.75">
      <c r="A311" s="169"/>
      <c r="B311" s="170"/>
      <c r="C311" s="170"/>
      <c r="D311" s="447" t="s">
        <v>59</v>
      </c>
      <c r="E311" s="447"/>
      <c r="F311" s="447"/>
      <c r="G311" s="178"/>
      <c r="H311" s="763" t="s">
        <v>35</v>
      </c>
      <c r="I311" s="269">
        <f ca="1">IFERROR(__xludf.DUMMYFUNCTION("IMPORTRANGE(""https://docs.google.com/spreadsheets/d/1QqKyyYR6Q21VydFLVH3TRQUabQu_ym0Zz7PgGX0-kHA/edit?usp=sharing"",""แผน!ED88"")"),20)</f>
        <v>20</v>
      </c>
      <c r="J311" s="214">
        <v>20</v>
      </c>
      <c r="K311" s="497">
        <f ca="1">IF(I311&gt;0,J311*100/I311,0)</f>
        <v>100</v>
      </c>
      <c r="L311" s="497"/>
      <c r="M311" s="497"/>
      <c r="N311" s="497"/>
      <c r="O311" s="497"/>
      <c r="P311" s="497"/>
    </row>
    <row r="312" spans="1:26" ht="18.75">
      <c r="A312" s="169"/>
      <c r="B312" s="170"/>
      <c r="C312" s="170"/>
      <c r="D312" s="447" t="s">
        <v>143</v>
      </c>
      <c r="E312" s="447"/>
      <c r="F312" s="447"/>
      <c r="G312" s="178"/>
      <c r="H312" s="763" t="s">
        <v>35</v>
      </c>
      <c r="I312" s="269">
        <f ca="1">IFERROR(__xludf.DUMMYFUNCTION("IMPORTRANGE(""https://docs.google.com/spreadsheets/d/1QqKyyYR6Q21VydFLVH3TRQUabQu_ym0Zz7PgGX0-kHA/edit?usp=sharing"",""แผน!EE88"")"),4)</f>
        <v>4</v>
      </c>
      <c r="J312" s="214">
        <v>4</v>
      </c>
      <c r="K312" s="497">
        <f ca="1">IF(I312&gt;0,J312*100/I312,0)</f>
        <v>100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1</v>
      </c>
      <c r="J314" s="444">
        <f>J325</f>
        <v>1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6"/>
      <c r="B315" s="147"/>
      <c r="C315" s="148" t="s">
        <v>16</v>
      </c>
      <c r="D315" s="846" t="s">
        <v>17</v>
      </c>
      <c r="E315" s="147"/>
      <c r="F315" s="147"/>
      <c r="G315" s="150"/>
      <c r="H315" s="151" t="s">
        <v>12</v>
      </c>
      <c r="I315" s="420"/>
      <c r="J315" s="420"/>
      <c r="K315" s="153"/>
      <c r="L315" s="154">
        <f ca="1">L316+L317</f>
        <v>439000</v>
      </c>
      <c r="M315" s="154">
        <f ca="1">M316+M317</f>
        <v>439000</v>
      </c>
      <c r="N315" s="154">
        <f ca="1">N316+N317</f>
        <v>439000</v>
      </c>
      <c r="O315" s="154">
        <f t="shared" ref="O315:O323" ca="1" si="53">IF(L315&gt;0,N315*100/L315,0)</f>
        <v>100</v>
      </c>
      <c r="P315" s="154">
        <f t="shared" ref="P315:P323" ca="1" si="54">IF(M315&gt;0,N315*100/M315,0)</f>
        <v>100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6"/>
      <c r="J316" s="616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6"/>
      <c r="J317" s="616"/>
      <c r="K317" s="92"/>
      <c r="L317" s="92">
        <f t="shared" ca="1" si="55"/>
        <v>439000</v>
      </c>
      <c r="M317" s="92">
        <f t="shared" ca="1" si="55"/>
        <v>439000</v>
      </c>
      <c r="N317" s="92">
        <f t="shared" ca="1" si="55"/>
        <v>439000</v>
      </c>
      <c r="O317" s="92">
        <f t="shared" ca="1" si="53"/>
        <v>100</v>
      </c>
      <c r="P317" s="92">
        <f t="shared" ca="1" si="54"/>
        <v>100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439000</v>
      </c>
      <c r="M318" s="497">
        <f ca="1">M319+M320</f>
        <v>439000</v>
      </c>
      <c r="N318" s="497">
        <f ca="1">N319+N320</f>
        <v>439000</v>
      </c>
      <c r="O318" s="497">
        <f t="shared" ca="1" si="53"/>
        <v>100</v>
      </c>
      <c r="P318" s="497">
        <f t="shared" ca="1" si="54"/>
        <v>100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IFERROR(__xludf.DUMMYFUNCTION("IMPORTRANGE(""https://docs.google.com/spreadsheets/d/1MeEWN-I1oV_STSDYn1IFDPWt_1FKiwhDph83XaGc0o0/edit?usp=sharing"",""งบพรบ!EC88"")"),439000)</f>
        <v>439000</v>
      </c>
      <c r="M320" s="92">
        <f ca="1">IFERROR(__xludf.DUMMYFUNCTION("IMPORTRANGE(""https://docs.google.com/spreadsheets/d/1MeEWN-I1oV_STSDYn1IFDPWt_1FKiwhDph83XaGc0o0/edit?usp=sharing"",""งบพรบ!EH88"")"),439000)</f>
        <v>439000</v>
      </c>
      <c r="N320" s="92">
        <f ca="1">IFERROR(__xludf.DUMMYFUNCTION("IMPORTRANGE(""https://docs.google.com/spreadsheets/d/1MeEWN-I1oV_STSDYn1IFDPWt_1FKiwhDph83XaGc0o0/edit?usp=sharing"",""งบพรบ!EJ88"")"),439000)</f>
        <v>439000</v>
      </c>
      <c r="O320" s="92">
        <f t="shared" ca="1" si="53"/>
        <v>100</v>
      </c>
      <c r="P320" s="92">
        <f t="shared" ca="1" si="54"/>
        <v>100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IFERROR(__xludf.DUMMYFUNCTION("IMPORTRANGE(""https://docs.google.com/spreadsheets/d/1MeEWN-I1oV_STSDYn1IFDPWt_1FKiwhDph83XaGc0o0/edit?usp=sharing"",""งบพรบ!EF88"")"),0)</f>
        <v>0</v>
      </c>
      <c r="M323" s="92">
        <f ca="1">IFERROR(__xludf.DUMMYFUNCTION("IMPORTRANGE(""https://docs.google.com/spreadsheets/d/1MeEWN-I1oV_STSDYn1IFDPWt_1FKiwhDph83XaGc0o0/edit?usp=sharing"",""งบพรบ!EI88"")"),0)</f>
        <v>0</v>
      </c>
      <c r="N323" s="92">
        <f ca="1">IFERROR(__xludf.DUMMYFUNCTION("IMPORTRANGE(""https://docs.google.com/spreadsheets/d/1MeEWN-I1oV_STSDYn1IFDPWt_1FKiwhDph83XaGc0o0/edit?usp=sharing"",""งบพรบ!EK88"")"),0)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>
      <c r="A324" s="169"/>
      <c r="B324" s="170"/>
      <c r="C324" s="163" t="s">
        <v>16</v>
      </c>
      <c r="D324" s="847" t="s">
        <v>38</v>
      </c>
      <c r="E324" s="172"/>
      <c r="F324" s="172"/>
      <c r="G324" s="173"/>
      <c r="H324" s="761"/>
      <c r="I324" s="183"/>
      <c r="J324" s="269"/>
      <c r="K324" s="497"/>
      <c r="L324" s="497"/>
      <c r="M324" s="497"/>
      <c r="N324" s="497"/>
      <c r="O324" s="162"/>
      <c r="P324" s="162"/>
    </row>
    <row r="325" spans="1:26" ht="18.75">
      <c r="A325" s="169"/>
      <c r="B325" s="170"/>
      <c r="C325" s="170"/>
      <c r="D325" s="175" t="s">
        <v>147</v>
      </c>
      <c r="E325" s="177"/>
      <c r="F325" s="447"/>
      <c r="G325" s="178"/>
      <c r="H325" s="622" t="s">
        <v>146</v>
      </c>
      <c r="I325" s="269">
        <f ca="1">IFERROR(__xludf.DUMMYFUNCTION("IMPORTRANGE(""https://docs.google.com/spreadsheets/d/1QqKyyYR6Q21VydFLVH3TRQUabQu_ym0Zz7PgGX0-kHA/edit?usp=sharing"",""แผน!EF88"")"),1)</f>
        <v>1</v>
      </c>
      <c r="J325" s="214">
        <v>1</v>
      </c>
      <c r="K325" s="497">
        <f ca="1">IF(I325&gt;0,J325*100/I325,0)</f>
        <v>100</v>
      </c>
      <c r="L325" s="497"/>
      <c r="M325" s="497"/>
      <c r="N325" s="497"/>
      <c r="O325" s="162"/>
      <c r="P325" s="162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IFERROR(__xludf.DUMMYFUNCTION("IMPORTRANGE(""https://docs.google.com/spreadsheets/d/1QqKyyYR6Q21VydFLVH3TRQUabQu_ym0Zz7PgGX0-kHA/edit?usp=sharing"",""แผน!EG88"")"),4800)</f>
        <v>4800</v>
      </c>
      <c r="J327" s="444">
        <f ca="1">J338+J341+J342+J343</f>
        <v>14620</v>
      </c>
      <c r="K327" s="445">
        <f ca="1">IF(I327&gt;0,J327*100/I327,0)</f>
        <v>304.58333333333331</v>
      </c>
      <c r="L327" s="446"/>
      <c r="M327" s="446"/>
      <c r="N327" s="446"/>
      <c r="O327" s="446"/>
      <c r="P327" s="446"/>
    </row>
    <row r="328" spans="1:26" ht="19.5">
      <c r="A328" s="146"/>
      <c r="B328" s="147"/>
      <c r="C328" s="148" t="s">
        <v>16</v>
      </c>
      <c r="D328" s="846" t="s">
        <v>17</v>
      </c>
      <c r="E328" s="147"/>
      <c r="F328" s="147"/>
      <c r="G328" s="150"/>
      <c r="H328" s="151" t="s">
        <v>12</v>
      </c>
      <c r="I328" s="420"/>
      <c r="J328" s="420"/>
      <c r="K328" s="153"/>
      <c r="L328" s="154">
        <f ca="1">L329+L330</f>
        <v>179000</v>
      </c>
      <c r="M328" s="154">
        <f ca="1">M329+M330</f>
        <v>181500</v>
      </c>
      <c r="N328" s="154">
        <f ca="1">N329+N330</f>
        <v>181500</v>
      </c>
      <c r="O328" s="154">
        <f t="shared" ref="O328:O336" ca="1" si="56">IF(L328&gt;0,N328*100/L328,0)</f>
        <v>101.39664804469274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6"/>
      <c r="J329" s="616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6"/>
      <c r="J330" s="616"/>
      <c r="K330" s="92"/>
      <c r="L330" s="92">
        <f t="shared" ca="1" si="58"/>
        <v>179000</v>
      </c>
      <c r="M330" s="92">
        <f t="shared" ca="1" si="58"/>
        <v>181500</v>
      </c>
      <c r="N330" s="92">
        <f t="shared" ca="1" si="58"/>
        <v>181500</v>
      </c>
      <c r="O330" s="92">
        <f t="shared" ca="1" si="56"/>
        <v>101.39664804469274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179000</v>
      </c>
      <c r="M331" s="497">
        <f ca="1">M332+M333</f>
        <v>181500</v>
      </c>
      <c r="N331" s="497">
        <f ca="1">N332+N333</f>
        <v>181500</v>
      </c>
      <c r="O331" s="497">
        <f t="shared" ca="1" si="56"/>
        <v>101.39664804469274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IFERROR(__xludf.DUMMYFUNCTION("IMPORTRANGE(""https://docs.google.com/spreadsheets/d/1MeEWN-I1oV_STSDYn1IFDPWt_1FKiwhDph83XaGc0o0/edit?usp=sharing"",""งบพรบ!EM88"")"),179000)</f>
        <v>179000</v>
      </c>
      <c r="M333" s="92">
        <f ca="1">IFERROR(__xludf.DUMMYFUNCTION("IMPORTRANGE(""https://docs.google.com/spreadsheets/d/1MeEWN-I1oV_STSDYn1IFDPWt_1FKiwhDph83XaGc0o0/edit?usp=sharing"",""งบพรบ!ER88"")"),181500)</f>
        <v>181500</v>
      </c>
      <c r="N333" s="92">
        <f ca="1">IFERROR(__xludf.DUMMYFUNCTION("IMPORTRANGE(""https://docs.google.com/spreadsheets/d/1MeEWN-I1oV_STSDYn1IFDPWt_1FKiwhDph83XaGc0o0/edit?usp=sharing"",""งบพรบ!ET88"")"),181500)</f>
        <v>181500</v>
      </c>
      <c r="O333" s="92">
        <f t="shared" ca="1" si="56"/>
        <v>101.39664804469274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IFERROR(__xludf.DUMMYFUNCTION("IMPORTRANGE(""https://docs.google.com/spreadsheets/d/1MeEWN-I1oV_STSDYn1IFDPWt_1FKiwhDph83XaGc0o0/edit?usp=sharing"",""งบพรบ!EP88"")"),0)</f>
        <v>0</v>
      </c>
      <c r="M336" s="92">
        <f ca="1">IFERROR(__xludf.DUMMYFUNCTION("IMPORTRANGE(""https://docs.google.com/spreadsheets/d/1MeEWN-I1oV_STSDYn1IFDPWt_1FKiwhDph83XaGc0o0/edit?usp=sharing"",""งบพรบ!ES88"")"),0)</f>
        <v>0</v>
      </c>
      <c r="N336" s="92">
        <f ca="1">IFERROR(__xludf.DUMMYFUNCTION("IMPORTRANGE(""https://docs.google.com/spreadsheets/d/1MeEWN-I1oV_STSDYn1IFDPWt_1FKiwhDph83XaGc0o0/edit?usp=sharing"",""งบพรบ!EU88"")"),0)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4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61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3"/>
      <c r="B338" s="32"/>
      <c r="C338" s="280"/>
      <c r="D338" s="447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IFERROR(__xludf.DUMMYFUNCTION("IMPORTRANGE(""https://docs.google.com/spreadsheets/d/1QqKyyYR6Q21VydFLVH3TRQUabQu_ym0Zz7PgGX0-kHA/edit?usp=sharing"",""แผน!EG88"")"),4800)</f>
        <v>4800</v>
      </c>
      <c r="J338" s="269">
        <f ca="1">IFERROR(__xludf.DUMMYFUNCTION("IMPORTRANGE(""https://docs.google.com/spreadsheets/d/1kVcqe37tkHyjCSG3S0O1AXqVkqjo8mSIZil3BcpIysc/edit?usp=sharing"",""ศูนย์!D88"")"),14270)</f>
        <v>14270</v>
      </c>
      <c r="K338" s="497">
        <f ca="1">IF(I338&gt;0,J338*100/I338,0)</f>
        <v>297.29166666666669</v>
      </c>
      <c r="L338" s="497"/>
      <c r="M338" s="497"/>
      <c r="N338" s="497"/>
      <c r="O338" s="497"/>
      <c r="P338" s="497"/>
    </row>
    <row r="339" spans="1:26" ht="18.75">
      <c r="A339" s="283"/>
      <c r="B339" s="32"/>
      <c r="C339" s="280"/>
      <c r="D339" s="447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3"/>
      <c r="B340" s="32"/>
      <c r="C340" s="280"/>
      <c r="D340" s="177"/>
      <c r="E340" s="447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IFERROR(__xludf.DUMMYFUNCTION("IMPORTRANGE(""https://docs.google.com/spreadsheets/d/1QqKyyYR6Q21VydFLVH3TRQUabQu_ym0Zz7PgGX0-kHA/edit?usp=sharing"",""แผน!EH88"")"),8)</f>
        <v>8</v>
      </c>
      <c r="J340" s="269">
        <f ca="1">IFERROR(__xludf.DUMMYFUNCTION("IMPORTRANGE(""https://docs.google.com/spreadsheets/d/1kVcqe37tkHyjCSG3S0O1AXqVkqjo8mSIZil3BcpIysc/edit?usp=sharing"",""ศูนย์!E88"")"),8)</f>
        <v>8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3"/>
      <c r="B341" s="32"/>
      <c r="C341" s="280"/>
      <c r="D341" s="177"/>
      <c r="E341" s="447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IFERROR(__xludf.DUMMYFUNCTION("IMPORTRANGE(""https://docs.google.com/spreadsheets/d/1kVcqe37tkHyjCSG3S0O1AXqVkqjo8mSIZil3BcpIysc/edit?usp=sharing"",""ศูนย์!F88"")"),337)</f>
        <v>337</v>
      </c>
      <c r="K341" s="497"/>
      <c r="L341" s="497"/>
      <c r="M341" s="497"/>
      <c r="N341" s="497"/>
      <c r="O341" s="497"/>
      <c r="P341" s="497"/>
    </row>
    <row r="342" spans="1:26" ht="18.75">
      <c r="A342" s="283"/>
      <c r="B342" s="32"/>
      <c r="C342" s="280"/>
      <c r="D342" s="447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IFERROR(__xludf.DUMMYFUNCTION("IMPORTRANGE(""https://docs.google.com/spreadsheets/d/1kVcqe37tkHyjCSG3S0O1AXqVkqjo8mSIZil3BcpIysc/edit?usp=sharing"",""ศูนย์!G88"")"),0)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3"/>
      <c r="B343" s="32"/>
      <c r="C343" s="280"/>
      <c r="D343" s="447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IFERROR(__xludf.DUMMYFUNCTION("IMPORTRANGE(""https://docs.google.com/spreadsheets/d/1kVcqe37tkHyjCSG3S0O1AXqVkqjo8mSIZil3BcpIysc/edit?usp=sharing"",""ศูนย์!H88"")"),13)</f>
        <v>13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6"/>
      <c r="B345" s="147"/>
      <c r="C345" s="148" t="s">
        <v>16</v>
      </c>
      <c r="D345" s="846" t="s">
        <v>17</v>
      </c>
      <c r="E345" s="147"/>
      <c r="F345" s="147"/>
      <c r="G345" s="150"/>
      <c r="H345" s="151" t="s">
        <v>12</v>
      </c>
      <c r="I345" s="420"/>
      <c r="J345" s="420"/>
      <c r="K345" s="153"/>
      <c r="L345" s="154">
        <f ca="1">L346+L347</f>
        <v>1438760</v>
      </c>
      <c r="M345" s="154">
        <f ca="1">M346+M347</f>
        <v>1517560</v>
      </c>
      <c r="N345" s="154">
        <f ca="1">N346+N347</f>
        <v>1517560</v>
      </c>
      <c r="O345" s="154">
        <f t="shared" ref="O345:O353" ca="1" si="59">IF(L345&gt;0,N345*100/L345,0)</f>
        <v>105.47693847479775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6"/>
      <c r="J346" s="616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6"/>
      <c r="J347" s="616"/>
      <c r="K347" s="92"/>
      <c r="L347" s="92">
        <f t="shared" ca="1" si="61"/>
        <v>1438760</v>
      </c>
      <c r="M347" s="92">
        <f t="shared" ca="1" si="61"/>
        <v>1517560</v>
      </c>
      <c r="N347" s="92">
        <f t="shared" ca="1" si="61"/>
        <v>1517560</v>
      </c>
      <c r="O347" s="92">
        <f t="shared" ca="1" si="59"/>
        <v>105.47693847479775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1287160</v>
      </c>
      <c r="M348" s="497">
        <f ca="1">M349+M350</f>
        <v>1387160</v>
      </c>
      <c r="N348" s="497">
        <f ca="1">N349+N350</f>
        <v>1387160</v>
      </c>
      <c r="O348" s="497">
        <f t="shared" ca="1" si="59"/>
        <v>107.76904192175022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IFERROR(__xludf.DUMMYFUNCTION("IMPORTRANGE(""https://docs.google.com/spreadsheets/d/1MeEWN-I1oV_STSDYn1IFDPWt_1FKiwhDph83XaGc0o0/edit?usp=sharing"",""งบพรบ!EW88"")"),1287160)</f>
        <v>1287160</v>
      </c>
      <c r="M350" s="92">
        <f ca="1">IFERROR(__xludf.DUMMYFUNCTION("IMPORTRANGE(""https://docs.google.com/spreadsheets/d/1MeEWN-I1oV_STSDYn1IFDPWt_1FKiwhDph83XaGc0o0/edit?usp=sharing"",""งบพรบ!FB88"")"),1387160)</f>
        <v>1387160</v>
      </c>
      <c r="N350" s="92">
        <f ca="1">IFERROR(__xludf.DUMMYFUNCTION("IMPORTRANGE(""https://docs.google.com/spreadsheets/d/1MeEWN-I1oV_STSDYn1IFDPWt_1FKiwhDph83XaGc0o0/edit?usp=sharing"",""งบพรบ!FD88"")"),1387160)</f>
        <v>1387160</v>
      </c>
      <c r="O350" s="92">
        <f t="shared" ca="1" si="59"/>
        <v>107.76904192175022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151600</v>
      </c>
      <c r="M351" s="497">
        <f ca="1">M352+M353</f>
        <v>130400</v>
      </c>
      <c r="N351" s="497">
        <f ca="1">N352+N353</f>
        <v>130400</v>
      </c>
      <c r="O351" s="497">
        <f t="shared" ca="1" si="59"/>
        <v>86.01583113456465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IFERROR(__xludf.DUMMYFUNCTION("IMPORTRANGE(""https://docs.google.com/spreadsheets/d/1MeEWN-I1oV_STSDYn1IFDPWt_1FKiwhDph83XaGc0o0/edit?usp=sharing"",""งบพรบ!EZ88"")"),151600)</f>
        <v>151600</v>
      </c>
      <c r="M353" s="92">
        <f ca="1">IFERROR(__xludf.DUMMYFUNCTION("IMPORTRANGE(""https://docs.google.com/spreadsheets/d/1MeEWN-I1oV_STSDYn1IFDPWt_1FKiwhDph83XaGc0o0/edit?usp=sharing"",""งบพรบ!FC88"")"),130400)</f>
        <v>130400</v>
      </c>
      <c r="N353" s="92">
        <f ca="1">IFERROR(__xludf.DUMMYFUNCTION("IMPORTRANGE(""https://docs.google.com/spreadsheets/d/1MeEWN-I1oV_STSDYn1IFDPWt_1FKiwhDph83XaGc0o0/edit?usp=sharing"",""งบพรบ!FE88"")"),130400)</f>
        <v>130400</v>
      </c>
      <c r="O353" s="92">
        <f t="shared" ca="1" si="59"/>
        <v>86.01583113456465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1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IFERROR(__xludf.DUMMYFUNCTION("IMPORTRANGE(""https://docs.google.com/spreadsheets/d/1QqKyyYR6Q21VydFLVH3TRQUabQu_ym0Zz7PgGX0-kHA/edit?usp=sharing"",""แผน!EP88"")"),500)</f>
        <v>500</v>
      </c>
      <c r="J355" s="464">
        <f ca="1">J362</f>
        <v>554</v>
      </c>
      <c r="K355" s="465">
        <f ca="1">IF(I355&gt;0,J355*100/I355,0)</f>
        <v>110.8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47" t="s">
        <v>38</v>
      </c>
      <c r="E357" s="172"/>
      <c r="F357" s="172"/>
      <c r="G357" s="173"/>
      <c r="H357" s="761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IFERROR(__xludf.DUMMYFUNCTION("IMPORTRANGE(""https://docs.google.com/spreadsheets/d/1XWAQStnk-4SwqDmLtmXYiTMKHgktTP8We1SCoS47DrQ/edit?usp=sharing"",""จัดที่ดิน!W88"")"),661)</f>
        <v>661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IFERROR(__xludf.DUMMYFUNCTION("IMPORTRANGE(""https://docs.google.com/spreadsheets/d/1QqKyyYR6Q21VydFLVH3TRQUabQu_ym0Zz7PgGX0-kHA/edit?usp=sharing"",""แผน!EO88"")"),5000)</f>
        <v>5000</v>
      </c>
      <c r="J359" s="269">
        <f ca="1">IFERROR(__xludf.DUMMYFUNCTION("IMPORTRANGE(""https://docs.google.com/spreadsheets/d/1XWAQStnk-4SwqDmLtmXYiTMKHgktTP8We1SCoS47DrQ/edit?usp=sharing"",""จัดที่ดิน!X88"")"),7455.73)</f>
        <v>7455.73</v>
      </c>
      <c r="K359" s="497">
        <f t="shared" ca="1" si="62"/>
        <v>149.1146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63" t="s">
        <v>35</v>
      </c>
      <c r="I360" s="269">
        <f ca="1">IFERROR(__xludf.DUMMYFUNCTION("IMPORTRANGE(""https://docs.google.com/spreadsheets/d/1QqKyyYR6Q21VydFLVH3TRQUabQu_ym0Zz7PgGX0-kHA/edit?usp=sharing"",""แผน!EP88"")"),500)</f>
        <v>500</v>
      </c>
      <c r="J360" s="269">
        <f ca="1">IFERROR(__xludf.DUMMYFUNCTION("IMPORTRANGE(""https://docs.google.com/spreadsheets/d/1XWAQStnk-4SwqDmLtmXYiTMKHgktTP8We1SCoS47DrQ/edit?usp=sharing"",""จัดที่ดิน!Y88"")"),590)</f>
        <v>590</v>
      </c>
      <c r="K360" s="497">
        <f t="shared" ca="1" si="62"/>
        <v>118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63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IFERROR(__xludf.DUMMYFUNCTION("IMPORTRANGE(""https://docs.google.com/spreadsheets/d/1XWAQStnk-4SwqDmLtmXYiTMKHgktTP8We1SCoS47DrQ/edit?usp=sharing"",""จัดที่ดิน!Z88"")"),6600.46)</f>
        <v>6600.46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63" t="s">
        <v>35</v>
      </c>
      <c r="I362" s="269">
        <f ca="1">IFERROR(__xludf.DUMMYFUNCTION("IMPORTRANGE(""https://docs.google.com/spreadsheets/d/1QqKyyYR6Q21VydFLVH3TRQUabQu_ym0Zz7PgGX0-kHA/edit?usp=sharing"",""แผน!EP88"")"),500)</f>
        <v>500</v>
      </c>
      <c r="J362" s="269">
        <f ca="1">IFERROR(__xludf.DUMMYFUNCTION("IMPORTRANGE(""https://docs.google.com/spreadsheets/d/1XWAQStnk-4SwqDmLtmXYiTMKHgktTP8We1SCoS47DrQ/edit?usp=sharing"",""จัดที่ดิน!AA88"")"),554)</f>
        <v>554</v>
      </c>
      <c r="K362" s="497">
        <f t="shared" ca="1" si="62"/>
        <v>110.8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7"/>
      <c r="F363" s="177"/>
      <c r="G363" s="178"/>
      <c r="H363" s="763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IFERROR(__xludf.DUMMYFUNCTION("IMPORTRANGE(""https://docs.google.com/spreadsheets/d/1XWAQStnk-4SwqDmLtmXYiTMKHgktTP8We1SCoS47DrQ/edit?usp=sharing"",""จัดที่ดิน!AB88"")"),6196.87)</f>
        <v>6196.87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800</v>
      </c>
      <c r="J364" s="478">
        <f ca="1">J365+J374</f>
        <v>1306</v>
      </c>
      <c r="K364" s="479">
        <f t="shared" ca="1" si="62"/>
        <v>163.25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IFERROR(__xludf.DUMMYFUNCTION("IMPORTRANGE(""https://docs.google.com/spreadsheets/d/1QqKyyYR6Q21VydFLVH3TRQUabQu_ym0Zz7PgGX0-kHA/edit?usp=sharing"",""แผน!EJ88"")"),150)</f>
        <v>150</v>
      </c>
      <c r="J365" s="490">
        <f ca="1">J372</f>
        <v>210</v>
      </c>
      <c r="K365" s="491">
        <f t="shared" ca="1" si="62"/>
        <v>140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47" t="s">
        <v>38</v>
      </c>
      <c r="E367" s="172"/>
      <c r="F367" s="172"/>
      <c r="G367" s="173"/>
      <c r="H367" s="761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IFERROR(__xludf.DUMMYFUNCTION("IMPORTRANGE(""https://docs.google.com/spreadsheets/d/1XWAQStnk-4SwqDmLtmXYiTMKHgktTP8We1SCoS47DrQ/edit?usp=sharing"",""จัดที่ดิน!E88"")"),232)</f>
        <v>232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IFERROR(__xludf.DUMMYFUNCTION("IMPORTRANGE(""https://docs.google.com/spreadsheets/d/1QqKyyYR6Q21VydFLVH3TRQUabQu_ym0Zz7PgGX0-kHA/edit?usp=sharing"",""แผน!EI88"")"),1500)</f>
        <v>1500</v>
      </c>
      <c r="J369" s="269">
        <f ca="1">IFERROR(__xludf.DUMMYFUNCTION("IMPORTRANGE(""https://docs.google.com/spreadsheets/d/1XWAQStnk-4SwqDmLtmXYiTMKHgktTP8We1SCoS47DrQ/edit?usp=sharing"",""จัดที่ดิน!F88"")"),2689.22)</f>
        <v>2689.22</v>
      </c>
      <c r="K369" s="497">
        <f t="shared" ca="1" si="63"/>
        <v>179.28133333333332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63" t="s">
        <v>35</v>
      </c>
      <c r="I370" s="269">
        <f ca="1">IFERROR(__xludf.DUMMYFUNCTION("IMPORTRANGE(""https://docs.google.com/spreadsheets/d/1QqKyyYR6Q21VydFLVH3TRQUabQu_ym0Zz7PgGX0-kHA/edit?usp=sharing"",""แผน!EJ88"")"),150)</f>
        <v>150</v>
      </c>
      <c r="J370" s="269">
        <f ca="1">IFERROR(__xludf.DUMMYFUNCTION("IMPORTRANGE(""https://docs.google.com/spreadsheets/d/1XWAQStnk-4SwqDmLtmXYiTMKHgktTP8We1SCoS47DrQ/edit?usp=sharing"",""จัดที่ดิน!G88"")"),214)</f>
        <v>214</v>
      </c>
      <c r="K370" s="497">
        <f t="shared" ca="1" si="63"/>
        <v>142.66666666666666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63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IFERROR(__xludf.DUMMYFUNCTION("IMPORTRANGE(""https://docs.google.com/spreadsheets/d/1XWAQStnk-4SwqDmLtmXYiTMKHgktTP8We1SCoS47DrQ/edit?usp=sharing"",""จัดที่ดิน!H88"")"),2478.63)</f>
        <v>2478.63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63" t="s">
        <v>35</v>
      </c>
      <c r="I372" s="269">
        <f ca="1">IFERROR(__xludf.DUMMYFUNCTION("IMPORTRANGE(""https://docs.google.com/spreadsheets/d/1QqKyyYR6Q21VydFLVH3TRQUabQu_ym0Zz7PgGX0-kHA/edit?usp=sharing"",""แผน!EJ88"")"),150)</f>
        <v>150</v>
      </c>
      <c r="J372" s="269">
        <f ca="1">IFERROR(__xludf.DUMMYFUNCTION("IMPORTRANGE(""https://docs.google.com/spreadsheets/d/1XWAQStnk-4SwqDmLtmXYiTMKHgktTP8We1SCoS47DrQ/edit?usp=sharing"",""จัดที่ดิน!I88"")"),210)</f>
        <v>210</v>
      </c>
      <c r="K372" s="497">
        <f t="shared" ca="1" si="63"/>
        <v>140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7"/>
      <c r="C373" s="170"/>
      <c r="D373" s="177"/>
      <c r="E373" s="447"/>
      <c r="F373" s="177"/>
      <c r="G373" s="178"/>
      <c r="H373" s="763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IFERROR(__xludf.DUMMYFUNCTION("IMPORTRANGE(""https://docs.google.com/spreadsheets/d/1XWAQStnk-4SwqDmLtmXYiTMKHgktTP8We1SCoS47DrQ/edit?usp=sharing"",""จัดที่ดิน!J88"")"),2404.59)</f>
        <v>2404.59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IFERROR(__xludf.DUMMYFUNCTION("IMPORTRANGE(""https://docs.google.com/spreadsheets/d/1QqKyyYR6Q21VydFLVH3TRQUabQu_ym0Zz7PgGX0-kHA/edit?usp=sharing"",""แผน!EU88"")"),650)</f>
        <v>650</v>
      </c>
      <c r="J374" s="490">
        <f ca="1">J381</f>
        <v>1096</v>
      </c>
      <c r="K374" s="491">
        <f t="shared" ca="1" si="63"/>
        <v>168.61538461538461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47" t="s">
        <v>38</v>
      </c>
      <c r="E376" s="172"/>
      <c r="F376" s="172"/>
      <c r="G376" s="173"/>
      <c r="H376" s="761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IFERROR(__xludf.DUMMYFUNCTION("IMPORTRANGE(""https://docs.google.com/spreadsheets/d/1XWAQStnk-4SwqDmLtmXYiTMKHgktTP8We1SCoS47DrQ/edit?usp=sharing"",""จัดที่ดิน!AH88"")"),429)</f>
        <v>429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IFERROR(__xludf.DUMMYFUNCTION("IMPORTRANGE(""https://docs.google.com/spreadsheets/d/1QqKyyYR6Q21VydFLVH3TRQUabQu_ym0Zz7PgGX0-kHA/edit?usp=sharing"",""แผน!ET88"")"),3500)</f>
        <v>3500</v>
      </c>
      <c r="J378" s="269">
        <f ca="1">IFERROR(__xludf.DUMMYFUNCTION("IMPORTRANGE(""https://docs.google.com/spreadsheets/d/1XWAQStnk-4SwqDmLtmXYiTMKHgktTP8We1SCoS47DrQ/edit?usp=sharing"",""จัดที่ดิน!AI88"")"),4766.51)</f>
        <v>4766.51</v>
      </c>
      <c r="K378" s="497">
        <f t="shared" ca="1" si="64"/>
        <v>136.18600000000001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63" t="s">
        <v>35</v>
      </c>
      <c r="I379" s="269">
        <f ca="1">IFERROR(__xludf.DUMMYFUNCTION("IMPORTRANGE(""https://docs.google.com/spreadsheets/d/1QqKyyYR6Q21VydFLVH3TRQUabQu_ym0Zz7PgGX0-kHA/edit?usp=sharing"",""แผน!EU88"")"),650)</f>
        <v>650</v>
      </c>
      <c r="J379" s="269">
        <f ca="1">IFERROR(__xludf.DUMMYFUNCTION("IMPORTRANGE(""https://docs.google.com/spreadsheets/d/1XWAQStnk-4SwqDmLtmXYiTMKHgktTP8We1SCoS47DrQ/edit?usp=sharing"",""จัดที่ดิน!AJ88"")"),1129)</f>
        <v>1129</v>
      </c>
      <c r="K379" s="497">
        <f t="shared" ca="1" si="64"/>
        <v>173.69230769230768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63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IFERROR(__xludf.DUMMYFUNCTION("IMPORTRANGE(""https://docs.google.com/spreadsheets/d/1XWAQStnk-4SwqDmLtmXYiTMKHgktTP8We1SCoS47DrQ/edit?usp=sharing"",""จัดที่ดิน!AK88"")"),15859.19)</f>
        <v>15859.19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63" t="s">
        <v>35</v>
      </c>
      <c r="I381" s="269">
        <f ca="1">IFERROR(__xludf.DUMMYFUNCTION("IMPORTRANGE(""https://docs.google.com/spreadsheets/d/1QqKyyYR6Q21VydFLVH3TRQUabQu_ym0Zz7PgGX0-kHA/edit?usp=sharing"",""แผน!EU88"")"),650)</f>
        <v>650</v>
      </c>
      <c r="J381" s="269">
        <f ca="1">IFERROR(__xludf.DUMMYFUNCTION("IMPORTRANGE(""https://docs.google.com/spreadsheets/d/1XWAQStnk-4SwqDmLtmXYiTMKHgktTP8We1SCoS47DrQ/edit?usp=sharing"",""จัดที่ดิน!AL88"")"),1096)</f>
        <v>1096</v>
      </c>
      <c r="K381" s="497">
        <f t="shared" ca="1" si="64"/>
        <v>168.61538461538461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7"/>
      <c r="C382" s="170"/>
      <c r="D382" s="177"/>
      <c r="E382" s="447"/>
      <c r="F382" s="177"/>
      <c r="G382" s="178"/>
      <c r="H382" s="763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IFERROR(__xludf.DUMMYFUNCTION("IMPORTRANGE(""https://docs.google.com/spreadsheets/d/1XWAQStnk-4SwqDmLtmXYiTMKHgktTP8We1SCoS47DrQ/edit?usp=sharing"",""จัดที่ดิน!AM88"")"),15510.57)</f>
        <v>15510.57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498"/>
      <c r="B383" s="499"/>
      <c r="C383" s="290"/>
      <c r="D383" s="849" t="s">
        <v>169</v>
      </c>
      <c r="E383" s="290"/>
      <c r="F383" s="290"/>
      <c r="G383" s="501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4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761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503" t="s">
        <v>170</v>
      </c>
      <c r="F385" s="380"/>
      <c r="G385" s="381"/>
      <c r="H385" s="504" t="s">
        <v>35</v>
      </c>
      <c r="I385" s="505">
        <f ca="1">IFERROR(__xludf.DUMMYFUNCTION("IMPORTRANGE(""https://docs.google.com/spreadsheets/d/1QqKyyYR6Q21VydFLVH3TRQUabQu_ym0Zz7PgGX0-kHA/edit?usp=sharing"",""แผน!EW88"")"),150)</f>
        <v>150</v>
      </c>
      <c r="J385" s="505">
        <f ca="1">IFERROR(__xludf.DUMMYFUNCTION("IMPORTRANGE(""https://docs.google.com/spreadsheets/d/1XWAQStnk-4SwqDmLtmXYiTMKHgktTP8We1SCoS47DrQ/edit?usp=sharing"",""จัดที่ดิน!AP88"")"),159)</f>
        <v>159</v>
      </c>
      <c r="K385" s="506">
        <f ca="1">IF(I385&gt;0,J385*100/I385,0)</f>
        <v>106</v>
      </c>
      <c r="L385" s="384"/>
      <c r="M385" s="384"/>
      <c r="N385" s="384"/>
      <c r="O385" s="384"/>
      <c r="P385" s="384"/>
    </row>
    <row r="386" spans="1:26" ht="19.5" hidden="1">
      <c r="A386" s="507" t="s">
        <v>171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172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173</v>
      </c>
      <c r="C388" s="522"/>
      <c r="D388" s="523"/>
      <c r="E388" s="523"/>
      <c r="F388" s="523"/>
      <c r="G388" s="524"/>
      <c r="H388" s="525" t="s">
        <v>66</v>
      </c>
      <c r="I388" s="526">
        <f>I400</f>
        <v>0</v>
      </c>
      <c r="J388" s="526">
        <f>J400</f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6"/>
      <c r="B389" s="147"/>
      <c r="C389" s="148" t="s">
        <v>16</v>
      </c>
      <c r="D389" s="846" t="s">
        <v>17</v>
      </c>
      <c r="E389" s="147"/>
      <c r="F389" s="147"/>
      <c r="G389" s="150"/>
      <c r="H389" s="151" t="s">
        <v>12</v>
      </c>
      <c r="I389" s="420"/>
      <c r="J389" s="420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6"/>
      <c r="J390" s="616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6"/>
      <c r="J391" s="616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IFERROR(__xludf.DUMMYFUNCTION("IMPORTRANGE(""https://docs.google.com/spreadsheets/d/1MeEWN-I1oV_STSDYn1IFDPWt_1FKiwhDph83XaGc0o0/edit?usp=sharing"",""งบพรบ!FG88"")"),0)</f>
        <v>0</v>
      </c>
      <c r="M394" s="92">
        <f ca="1">IFERROR(__xludf.DUMMYFUNCTION("IMPORTRANGE(""https://docs.google.com/spreadsheets/d/1MeEWN-I1oV_STSDYn1IFDPWt_1FKiwhDph83XaGc0o0/edit?usp=sharing"",""งบพรบ!FL88"")"),0)</f>
        <v>0</v>
      </c>
      <c r="N394" s="92">
        <f ca="1">IFERROR(__xludf.DUMMYFUNCTION("IMPORTRANGE(""https://docs.google.com/spreadsheets/d/1MeEWN-I1oV_STSDYn1IFDPWt_1FKiwhDph83XaGc0o0/edit?usp=sharing"",""งบพรบ!FN88"")"),0)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IFERROR(__xludf.DUMMYFUNCTION("IMPORTRANGE(""https://docs.google.com/spreadsheets/d/1MeEWN-I1oV_STSDYn1IFDPWt_1FKiwhDph83XaGc0o0/edit?usp=sharing"",""งบพรบ!FJ88"")"),0)</f>
        <v>0</v>
      </c>
      <c r="M397" s="92">
        <f ca="1">IFERROR(__xludf.DUMMYFUNCTION("IMPORTRANGE(""https://docs.google.com/spreadsheets/d/1MeEWN-I1oV_STSDYn1IFDPWt_1FKiwhDph83XaGc0o0/edit?usp=sharing"",""งบพรบ!FM88"")"),0)</f>
        <v>0</v>
      </c>
      <c r="N397" s="92">
        <f ca="1">IFERROR(__xludf.DUMMYFUNCTION("IMPORTRANGE(""https://docs.google.com/spreadsheets/d/1MeEWN-I1oV_STSDYn1IFDPWt_1FKiwhDph83XaGc0o0/edit?usp=sharing"",""งบพรบ!FO88"")"),0)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47" t="s">
        <v>38</v>
      </c>
      <c r="E398" s="172"/>
      <c r="F398" s="172"/>
      <c r="G398" s="173"/>
      <c r="H398" s="761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9"/>
      <c r="B399" s="147"/>
      <c r="C399" s="530"/>
      <c r="D399" s="531" t="s">
        <v>174</v>
      </c>
      <c r="E399" s="415"/>
      <c r="F399" s="147"/>
      <c r="G399" s="150"/>
      <c r="H399" s="532" t="s">
        <v>9</v>
      </c>
      <c r="I399" s="269">
        <v>0</v>
      </c>
      <c r="J399" s="214">
        <v>0</v>
      </c>
      <c r="K399" s="497">
        <f>IF(I399&gt;0,J399*100/I399,0)</f>
        <v>0</v>
      </c>
      <c r="L399" s="533"/>
      <c r="M399" s="533"/>
      <c r="N399" s="533"/>
      <c r="O399" s="533"/>
      <c r="P399" s="533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3"/>
      <c r="B400" s="32"/>
      <c r="C400" s="280"/>
      <c r="D400" s="447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20"/>
      <c r="B401" s="521" t="s">
        <v>176</v>
      </c>
      <c r="C401" s="522"/>
      <c r="D401" s="523"/>
      <c r="E401" s="523"/>
      <c r="F401" s="523"/>
      <c r="G401" s="524"/>
      <c r="H401" s="525" t="s">
        <v>66</v>
      </c>
      <c r="I401" s="526">
        <f>I412</f>
        <v>0</v>
      </c>
      <c r="J401" s="526">
        <f>J412</f>
        <v>0</v>
      </c>
      <c r="K401" s="527">
        <f>IF(I401&gt;0,J401*100/I401,0)</f>
        <v>0</v>
      </c>
      <c r="L401" s="528"/>
      <c r="M401" s="528"/>
      <c r="N401" s="528"/>
      <c r="O401" s="528"/>
      <c r="P401" s="528"/>
    </row>
    <row r="402" spans="1:26" ht="19.5" hidden="1">
      <c r="A402" s="146"/>
      <c r="B402" s="147"/>
      <c r="C402" s="148" t="s">
        <v>16</v>
      </c>
      <c r="D402" s="846" t="s">
        <v>17</v>
      </c>
      <c r="E402" s="147"/>
      <c r="F402" s="147"/>
      <c r="G402" s="150"/>
      <c r="H402" s="151" t="s">
        <v>12</v>
      </c>
      <c r="I402" s="420"/>
      <c r="J402" s="420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6"/>
      <c r="J403" s="616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6"/>
      <c r="J404" s="616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IFERROR(__xludf.DUMMYFUNCTION("IMPORTRANGE(""https://docs.google.com/spreadsheets/d/1MeEWN-I1oV_STSDYn1IFDPWt_1FKiwhDph83XaGc0o0/edit?usp=sharing"",""งบพรบ!FQ88"")"),0)</f>
        <v>0</v>
      </c>
      <c r="M407" s="92">
        <f ca="1">IFERROR(__xludf.DUMMYFUNCTION("IMPORTRANGE(""https://docs.google.com/spreadsheets/d/1MeEWN-I1oV_STSDYn1IFDPWt_1FKiwhDph83XaGc0o0/edit?usp=sharing"",""งบพรบ!FV88"")"),0)</f>
        <v>0</v>
      </c>
      <c r="N407" s="92">
        <f ca="1">IFERROR(__xludf.DUMMYFUNCTION("IMPORTRANGE(""https://docs.google.com/spreadsheets/d/1MeEWN-I1oV_STSDYn1IFDPWt_1FKiwhDph83XaGc0o0/edit?usp=sharing"",""งบพรบ!FX88"")"),0)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IFERROR(__xludf.DUMMYFUNCTION("IMPORTRANGE(""https://docs.google.com/spreadsheets/d/1MeEWN-I1oV_STSDYn1IFDPWt_1FKiwhDph83XaGc0o0/edit?usp=sharing"",""งบพรบ!FT88"")"),0)</f>
        <v>0</v>
      </c>
      <c r="M410" s="92">
        <f ca="1">IFERROR(__xludf.DUMMYFUNCTION("IMPORTRANGE(""https://docs.google.com/spreadsheets/d/1MeEWN-I1oV_STSDYn1IFDPWt_1FKiwhDph83XaGc0o0/edit?usp=sharing"",""งบพรบ!FW88"")"),0)</f>
        <v>0</v>
      </c>
      <c r="N410" s="92">
        <f ca="1">IFERROR(__xludf.DUMMYFUNCTION("IMPORTRANGE(""https://docs.google.com/spreadsheets/d/1MeEWN-I1oV_STSDYn1IFDPWt_1FKiwhDph83XaGc0o0/edit?usp=sharing"",""งบพรบ!FY88"")"),0)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45" t="s">
        <v>38</v>
      </c>
      <c r="E411" s="535"/>
      <c r="F411" s="535"/>
      <c r="G411" s="536"/>
      <c r="H411" s="761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7" t="s">
        <v>177</v>
      </c>
      <c r="E412" s="177"/>
      <c r="F412" s="177"/>
      <c r="G412" s="178"/>
      <c r="H412" s="537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8"/>
      <c r="B413" s="539"/>
      <c r="C413" s="539"/>
      <c r="D413" s="540" t="s">
        <v>178</v>
      </c>
      <c r="E413" s="539"/>
      <c r="F413" s="539"/>
      <c r="G413" s="541"/>
      <c r="H413" s="542" t="s">
        <v>179</v>
      </c>
      <c r="I413" s="543">
        <v>0</v>
      </c>
      <c r="J413" s="544">
        <v>0</v>
      </c>
      <c r="K413" s="545">
        <f>IF(I413&gt;0,J413*100/I413,0)</f>
        <v>0</v>
      </c>
      <c r="L413" s="546"/>
      <c r="M413" s="546"/>
      <c r="N413" s="546"/>
      <c r="O413" s="546"/>
      <c r="P413" s="546"/>
    </row>
    <row r="414" spans="1:26" ht="19.5">
      <c r="A414" s="547" t="s">
        <v>180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ca="1">L419+L444+L467+L502+L523+L544+L629+L655+L685+L737+L754+L770+L786+L805</f>
        <v>2083308</v>
      </c>
      <c r="M414" s="553">
        <f ca="1">M419+M444+M467+M502+M523+M544+M629+M655+M685+M737+M754+M770+M786+M805</f>
        <v>2472653.0499999998</v>
      </c>
      <c r="N414" s="553">
        <f>N419+N444+N467+N502+N523+N544+N629+N655+N685+N737+N754+N770+N786+N805</f>
        <v>2472653.0499999998</v>
      </c>
      <c r="O414" s="553">
        <f ca="1">IF(L414&gt;0,N414*100/L414,0)</f>
        <v>118.6887896556822</v>
      </c>
      <c r="P414" s="553">
        <f ca="1">IF(M414&gt;0,N414*100/M414,0)</f>
        <v>100</v>
      </c>
    </row>
    <row r="415" spans="1:26" ht="19.5">
      <c r="A415" s="554" t="s">
        <v>181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182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183</v>
      </c>
      <c r="C417" s="565"/>
      <c r="D417" s="566"/>
      <c r="E417" s="566"/>
      <c r="F417" s="566"/>
      <c r="G417" s="567"/>
      <c r="H417" s="568" t="s">
        <v>35</v>
      </c>
      <c r="I417" s="569">
        <f ca="1">I433</f>
        <v>45</v>
      </c>
      <c r="J417" s="569">
        <f ca="1">J433</f>
        <v>45</v>
      </c>
      <c r="K417" s="570">
        <f ca="1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ca="1">I434</f>
        <v>2</v>
      </c>
      <c r="J418" s="569">
        <f>J434</f>
        <v>2</v>
      </c>
      <c r="K418" s="570">
        <f ca="1">IF(I418&gt;0,J418*100/I418,0)</f>
        <v>100</v>
      </c>
      <c r="L418" s="571"/>
      <c r="M418" s="571"/>
      <c r="N418" s="571"/>
      <c r="O418" s="571"/>
      <c r="P418" s="571"/>
    </row>
    <row r="419" spans="1:26" ht="19.5">
      <c r="A419" s="146"/>
      <c r="B419" s="147"/>
      <c r="C419" s="147" t="s">
        <v>16</v>
      </c>
      <c r="D419" s="910" t="s">
        <v>17</v>
      </c>
      <c r="E419" s="890"/>
      <c r="F419" s="890"/>
      <c r="G419" s="150"/>
      <c r="H419" s="274" t="s">
        <v>12</v>
      </c>
      <c r="I419" s="420"/>
      <c r="J419" s="420"/>
      <c r="K419" s="153"/>
      <c r="L419" s="154">
        <f ca="1">L420+L421</f>
        <v>149040</v>
      </c>
      <c r="M419" s="154">
        <f ca="1">M420+M421</f>
        <v>149040</v>
      </c>
      <c r="N419" s="154">
        <f>N420+N421</f>
        <v>149040</v>
      </c>
      <c r="O419" s="154">
        <f t="shared" ref="O419:O424" ca="1" si="71">IF(L419&gt;0,N419*100/L419,0)</f>
        <v>100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6"/>
      <c r="J420" s="616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6"/>
      <c r="J421" s="616"/>
      <c r="K421" s="92"/>
      <c r="L421" s="92">
        <f t="shared" ca="1" si="73"/>
        <v>149040</v>
      </c>
      <c r="M421" s="92">
        <f t="shared" ca="1" si="73"/>
        <v>149040</v>
      </c>
      <c r="N421" s="92">
        <f t="shared" si="73"/>
        <v>149040</v>
      </c>
      <c r="O421" s="92">
        <f t="shared" ca="1" si="71"/>
        <v>100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149040</v>
      </c>
      <c r="M422" s="497">
        <f ca="1">M423+M424</f>
        <v>149040</v>
      </c>
      <c r="N422" s="497">
        <f>N423+N424</f>
        <v>149040</v>
      </c>
      <c r="O422" s="497">
        <f t="shared" ca="1" si="71"/>
        <v>100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6"/>
      <c r="J423" s="616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6"/>
      <c r="J424" s="616"/>
      <c r="K424" s="92"/>
      <c r="L424" s="92">
        <f ca="1">IFERROR(__xludf.DUMMYFUNCTION("IMPORTRANGE(""https://docs.google.com/spreadsheets/d/1QqKyyYR6Q21VydFLVH3TRQUabQu_ym0Zz7PgGX0-kHA/edit?usp=sharing"",""แผน!EY88"")"),149040)</f>
        <v>149040</v>
      </c>
      <c r="M424" s="92">
        <f ca="1">L424</f>
        <v>149040</v>
      </c>
      <c r="N424" s="92">
        <f>N425+N426+N427+N428</f>
        <v>149040</v>
      </c>
      <c r="O424" s="92">
        <f t="shared" ca="1" si="71"/>
        <v>100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73"/>
      <c r="B425" s="574"/>
      <c r="C425" s="762"/>
      <c r="D425" s="762"/>
      <c r="E425" s="762"/>
      <c r="F425" s="762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826">
        <f>77780+24000+17000</f>
        <v>118780</v>
      </c>
      <c r="O425" s="497"/>
      <c r="P425" s="497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826">
        <v>0</v>
      </c>
      <c r="O426" s="497"/>
      <c r="P426" s="497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826">
        <v>0</v>
      </c>
      <c r="O427" s="497"/>
      <c r="P427" s="497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3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826">
        <f>1080+480+3740+20737+2920+1303</f>
        <v>30260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IFERROR(__xludf.DUMMYFUNCTION("IMPORTRANGE(""https://docs.google.com/spreadsheets/d/1QqKyyYR6Q21VydFLVH3TRQUabQu_ym0Zz7PgGX0-kHA/edit?usp=sharing"",""แผน!FB88"")"),0)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4"/>
      <c r="B432" s="415"/>
      <c r="C432" s="147" t="s">
        <v>16</v>
      </c>
      <c r="D432" s="844" t="s">
        <v>38</v>
      </c>
      <c r="E432" s="579"/>
      <c r="F432" s="579"/>
      <c r="G432" s="580"/>
      <c r="H432" s="581"/>
      <c r="I432" s="420"/>
      <c r="J432" s="420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80">
        <f ca="1">I435</f>
        <v>45</v>
      </c>
      <c r="J433" s="680">
        <f ca="1">IF(AND(J435=I435,J437=I437,J439=I439),I437+I439,IF(AND(J435=I437,J437=I437),I437,IF(AND(J435=I439,J439=I439),I439,0)))</f>
        <v>45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80">
        <f ca="1">I438+I440</f>
        <v>2</v>
      </c>
      <c r="J434" s="680">
        <f>J438+J440</f>
        <v>2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7" t="s">
        <v>192</v>
      </c>
      <c r="E435" s="177"/>
      <c r="F435" s="177"/>
      <c r="G435" s="178"/>
      <c r="H435" s="622" t="s">
        <v>35</v>
      </c>
      <c r="I435" s="582">
        <f ca="1">IFERROR(__xludf.DUMMYFUNCTION("IMPORTRANGE(""https://docs.google.com/spreadsheets/d/1QqKyyYR6Q21VydFLVH3TRQUabQu_ym0Zz7PgGX0-kHA/edit?usp=sharing"",""แผน!FC88"")"),45)</f>
        <v>45</v>
      </c>
      <c r="J435" s="583">
        <v>45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7" t="s">
        <v>193</v>
      </c>
      <c r="E436" s="177"/>
      <c r="F436" s="177"/>
      <c r="G436" s="178"/>
      <c r="H436" s="622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7" t="s">
        <v>194</v>
      </c>
      <c r="E437" s="177"/>
      <c r="F437" s="177"/>
      <c r="G437" s="178"/>
      <c r="H437" s="622" t="s">
        <v>35</v>
      </c>
      <c r="I437" s="582">
        <f ca="1">IFERROR(__xludf.DUMMYFUNCTION("IMPORTRANGE(""https://docs.google.com/spreadsheets/d/1QqKyyYR6Q21VydFLVH3TRQUabQu_ym0Zz7PgGX0-kHA/edit?usp=sharing"",""แผน!FD88"")"),30)</f>
        <v>30</v>
      </c>
      <c r="J437" s="583">
        <v>30</v>
      </c>
      <c r="K437" s="497">
        <f t="shared" ref="K437:K443" ca="1" si="74">IF(I437&gt;0,J437*100/I437,0)</f>
        <v>100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7" t="s">
        <v>195</v>
      </c>
      <c r="E438" s="177"/>
      <c r="F438" s="177"/>
      <c r="G438" s="178"/>
      <c r="H438" s="622" t="s">
        <v>49</v>
      </c>
      <c r="I438" s="269">
        <f ca="1">IFERROR(__xludf.DUMMYFUNCTION("IMPORTRANGE(""https://docs.google.com/spreadsheets/d/1QqKyyYR6Q21VydFLVH3TRQUabQu_ym0Zz7PgGX0-kHA/edit?usp=sharing"",""แผน!FE88"")"),1)</f>
        <v>1</v>
      </c>
      <c r="J438" s="214">
        <v>1</v>
      </c>
      <c r="K438" s="497">
        <f t="shared" ca="1" si="74"/>
        <v>100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7" t="s">
        <v>196</v>
      </c>
      <c r="E439" s="177"/>
      <c r="F439" s="177"/>
      <c r="G439" s="178"/>
      <c r="H439" s="622" t="s">
        <v>35</v>
      </c>
      <c r="I439" s="582">
        <f ca="1">IFERROR(__xludf.DUMMYFUNCTION("IMPORTRANGE(""https://docs.google.com/spreadsheets/d/1QqKyyYR6Q21VydFLVH3TRQUabQu_ym0Zz7PgGX0-kHA/edit?usp=sharing"",""แผน!FF88"")"),15)</f>
        <v>15</v>
      </c>
      <c r="J439" s="583">
        <v>15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7" t="s">
        <v>197</v>
      </c>
      <c r="E440" s="177"/>
      <c r="F440" s="177"/>
      <c r="G440" s="178"/>
      <c r="H440" s="622" t="s">
        <v>49</v>
      </c>
      <c r="I440" s="269">
        <f ca="1">IFERROR(__xludf.DUMMYFUNCTION("IMPORTRANGE(""https://docs.google.com/spreadsheets/d/1QqKyyYR6Q21VydFLVH3TRQUabQu_ym0Zz7PgGX0-kHA/edit?usp=sharing"",""แผน!FG88"")"),1)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7" t="s">
        <v>198</v>
      </c>
      <c r="E441" s="177"/>
      <c r="F441" s="177"/>
      <c r="G441" s="178"/>
      <c r="H441" s="622" t="s">
        <v>35</v>
      </c>
      <c r="I441" s="269">
        <f ca="1">IFERROR(__xludf.DUMMYFUNCTION("IMPORTRANGE(""https://docs.google.com/spreadsheets/d/1QqKyyYR6Q21VydFLVH3TRQUabQu_ym0Zz7PgGX0-kHA/edit?usp=sharing"",""แผน!FH88"")"),0)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84">
        <v>2</v>
      </c>
      <c r="B442" s="585" t="s">
        <v>199</v>
      </c>
      <c r="C442" s="586"/>
      <c r="D442" s="586"/>
      <c r="E442" s="586"/>
      <c r="F442" s="586"/>
      <c r="G442" s="587"/>
      <c r="H442" s="588" t="s">
        <v>35</v>
      </c>
      <c r="I442" s="589">
        <f ca="1">I460</f>
        <v>40</v>
      </c>
      <c r="J442" s="589">
        <f>J460</f>
        <v>40</v>
      </c>
      <c r="K442" s="590">
        <f t="shared" ca="1" si="7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ca="1">I462</f>
        <v>80</v>
      </c>
      <c r="J443" s="569">
        <f>J462</f>
        <v>80</v>
      </c>
      <c r="K443" s="570">
        <f t="shared" ca="1" si="7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87" t="s">
        <v>17</v>
      </c>
      <c r="E444" s="888"/>
      <c r="F444" s="888"/>
      <c r="G444" s="188"/>
      <c r="H444" s="597" t="s">
        <v>12</v>
      </c>
      <c r="I444" s="269"/>
      <c r="J444" s="269"/>
      <c r="K444" s="497"/>
      <c r="L444" s="194">
        <f ca="1">L445+L446</f>
        <v>317680</v>
      </c>
      <c r="M444" s="194">
        <f ca="1">M445+M446</f>
        <v>317680</v>
      </c>
      <c r="N444" s="194">
        <f>N445+N446</f>
        <v>317680</v>
      </c>
      <c r="O444" s="194">
        <f t="shared" ref="O444:O449" ca="1" si="75">IF(L444&gt;0,N444*100/L444,0)</f>
        <v>100</v>
      </c>
      <c r="P444" s="194">
        <f t="shared" ref="P444:P449" ca="1" si="76">IF(M444&gt;0,N444*100/M444,0)</f>
        <v>100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184</v>
      </c>
      <c r="F445" s="758"/>
      <c r="G445" s="602"/>
      <c r="H445" s="164" t="s">
        <v>12</v>
      </c>
      <c r="I445" s="616"/>
      <c r="J445" s="616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185</v>
      </c>
      <c r="F446" s="758"/>
      <c r="G446" s="602"/>
      <c r="H446" s="164" t="s">
        <v>12</v>
      </c>
      <c r="I446" s="616"/>
      <c r="J446" s="616"/>
      <c r="K446" s="92"/>
      <c r="L446" s="92">
        <f t="shared" ca="1" si="77"/>
        <v>317680</v>
      </c>
      <c r="M446" s="92">
        <f t="shared" ca="1" si="77"/>
        <v>317680</v>
      </c>
      <c r="N446" s="92">
        <f t="shared" si="77"/>
        <v>317680</v>
      </c>
      <c r="O446" s="92">
        <f t="shared" ca="1" si="75"/>
        <v>100</v>
      </c>
      <c r="P446" s="92">
        <f t="shared" ca="1" si="76"/>
        <v>100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8"/>
      <c r="H447" s="160" t="s">
        <v>12</v>
      </c>
      <c r="I447" s="183"/>
      <c r="J447" s="183"/>
      <c r="K447" s="162"/>
      <c r="L447" s="497">
        <f ca="1">L448+L449</f>
        <v>317680</v>
      </c>
      <c r="M447" s="497">
        <f ca="1">M448+M449</f>
        <v>317680</v>
      </c>
      <c r="N447" s="497">
        <f>N448+N449</f>
        <v>317680</v>
      </c>
      <c r="O447" s="497">
        <f t="shared" ca="1" si="75"/>
        <v>100</v>
      </c>
      <c r="P447" s="497">
        <f t="shared" ca="1" si="76"/>
        <v>100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184</v>
      </c>
      <c r="F448" s="758"/>
      <c r="G448" s="602"/>
      <c r="H448" s="164" t="s">
        <v>12</v>
      </c>
      <c r="I448" s="616"/>
      <c r="J448" s="616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185</v>
      </c>
      <c r="F449" s="758"/>
      <c r="G449" s="602"/>
      <c r="H449" s="164" t="s">
        <v>12</v>
      </c>
      <c r="I449" s="616"/>
      <c r="J449" s="616"/>
      <c r="K449" s="92"/>
      <c r="L449" s="92">
        <f ca="1">IFERROR(__xludf.DUMMYFUNCTION("IMPORTRANGE(""https://docs.google.com/spreadsheets/d/1QqKyyYR6Q21VydFLVH3TRQUabQu_ym0Zz7PgGX0-kHA/edit?usp=sharing"",""แผน!FJ88"")"),317680)</f>
        <v>317680</v>
      </c>
      <c r="M449" s="92">
        <f ca="1">L449</f>
        <v>317680</v>
      </c>
      <c r="N449" s="92">
        <f>N450+N451+N452+N453</f>
        <v>317680</v>
      </c>
      <c r="O449" s="92">
        <f t="shared" ca="1" si="75"/>
        <v>100</v>
      </c>
      <c r="P449" s="92">
        <f t="shared" ca="1" si="76"/>
        <v>100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826">
        <f>33511+20889</f>
        <v>54400</v>
      </c>
      <c r="O450" s="497"/>
      <c r="P450" s="497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826">
        <v>79000</v>
      </c>
      <c r="O451" s="497"/>
      <c r="P451" s="497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826">
        <f>23833.35+13000+13000+12566.67+12566.67+12133.34+10400.02+11700.01+12133.34+13000</f>
        <v>134333.4</v>
      </c>
      <c r="O452" s="497"/>
      <c r="P452" s="497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826">
        <f>360+3730+3600+360+2300+6632+3890+3600+600+19650+720-1650+2050+1104.6+3000</f>
        <v>49946.6</v>
      </c>
      <c r="O453" s="497"/>
      <c r="P453" s="497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IFERROR(__xludf.DUMMYFUNCTION("IMPORTRANGE(""https://docs.google.com/spreadsheets/d/1QqKyyYR6Q21VydFLVH3TRQUabQu_ym0Zz7PgGX0-kHA/edit?usp=sharing"",""แผน!FM88"")"),0)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40" t="s">
        <v>38</v>
      </c>
      <c r="E457" s="610"/>
      <c r="F457" s="760"/>
      <c r="G457" s="612"/>
      <c r="H457" s="761"/>
      <c r="I457" s="269"/>
      <c r="J457" s="269"/>
      <c r="K457" s="497"/>
      <c r="L457" s="497"/>
      <c r="M457" s="497"/>
      <c r="N457" s="497"/>
      <c r="O457" s="497"/>
      <c r="P457" s="497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200</v>
      </c>
      <c r="E458" s="615"/>
      <c r="F458" s="719"/>
      <c r="G458" s="365"/>
      <c r="H458" s="369" t="s">
        <v>35</v>
      </c>
      <c r="I458" s="616">
        <v>0</v>
      </c>
      <c r="J458" s="616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201</v>
      </c>
      <c r="E459" s="615"/>
      <c r="F459" s="719"/>
      <c r="G459" s="365"/>
      <c r="H459" s="369"/>
      <c r="I459" s="616"/>
      <c r="J459" s="616"/>
      <c r="K459" s="92"/>
      <c r="L459" s="92"/>
      <c r="M459" s="92"/>
      <c r="N459" s="92"/>
      <c r="O459" s="92"/>
      <c r="P459" s="92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202</v>
      </c>
      <c r="E460" s="617"/>
      <c r="F460" s="625"/>
      <c r="G460" s="761"/>
      <c r="H460" s="763" t="s">
        <v>35</v>
      </c>
      <c r="I460" s="269">
        <f ca="1">IFERROR(__xludf.DUMMYFUNCTION("IMPORTRANGE(""https://docs.google.com/spreadsheets/d/1QqKyyYR6Q21VydFLVH3TRQUabQu_ym0Zz7PgGX0-kHA/edit?usp=sharing"",""แผน!FN88"")"),40)</f>
        <v>40</v>
      </c>
      <c r="J460" s="214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203</v>
      </c>
      <c r="E461" s="625"/>
      <c r="F461" s="625"/>
      <c r="G461" s="761"/>
      <c r="H461" s="763"/>
      <c r="I461" s="269"/>
      <c r="J461" s="269"/>
      <c r="K461" s="497"/>
      <c r="L461" s="497"/>
      <c r="M461" s="497"/>
      <c r="N461" s="497"/>
      <c r="O461" s="497"/>
      <c r="P461" s="497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204</v>
      </c>
      <c r="E462" s="625"/>
      <c r="F462" s="625"/>
      <c r="G462" s="761"/>
      <c r="H462" s="763" t="s">
        <v>46</v>
      </c>
      <c r="I462" s="269">
        <f ca="1">IFERROR(__xludf.DUMMYFUNCTION("IMPORTRANGE(""https://docs.google.com/spreadsheets/d/1QqKyyYR6Q21VydFLVH3TRQUabQu_ym0Zz7PgGX0-kHA/edit?usp=sharing"",""แผน!FO88"")"),80)</f>
        <v>80</v>
      </c>
      <c r="J462" s="214">
        <v>80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8"/>
      <c r="H463" s="763" t="s">
        <v>46</v>
      </c>
      <c r="I463" s="269">
        <f ca="1">IFERROR(__xludf.DUMMYFUNCTION("IMPORTRANGE(""https://docs.google.com/spreadsheets/d/1QqKyyYR6Q21VydFLVH3TRQUabQu_ym0Zz7PgGX0-kHA/edit?usp=sharing"",""แผน!FO88"")"),80)</f>
        <v>80</v>
      </c>
      <c r="J463" s="214">
        <v>80</v>
      </c>
      <c r="K463" s="497"/>
      <c r="L463" s="497"/>
      <c r="M463" s="497"/>
      <c r="N463" s="497"/>
      <c r="O463" s="497"/>
      <c r="P463" s="497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69">
        <f ca="1">IFERROR(__xludf.DUMMYFUNCTION("IMPORTRANGE(""https://docs.google.com/spreadsheets/d/1QqKyyYR6Q21VydFLVH3TRQUabQu_ym0Zz7PgGX0-kHA/edit?usp=sharing"",""แผน!FN88"")"),40)</f>
        <v>40</v>
      </c>
      <c r="J464" s="214">
        <v>40</v>
      </c>
      <c r="K464" s="497"/>
      <c r="L464" s="497"/>
      <c r="M464" s="497"/>
      <c r="N464" s="497"/>
      <c r="O464" s="497"/>
      <c r="P464" s="497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205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IFERROR(__xludf.DUMMYFUNCTION("IMPORTRANGE(""https://docs.google.com/spreadsheets/d/1QqKyyYR6Q21VydFLVH3TRQUabQu_ym0Zz7PgGX0-kHA/edit?usp=sharing"",""แผน!FX88"")"),71)</f>
        <v>71</v>
      </c>
      <c r="J465" s="589">
        <f>J485+J489+J492</f>
        <v>71</v>
      </c>
      <c r="K465" s="590">
        <f ca="1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IFERROR(__xludf.DUMMYFUNCTION("IMPORTRANGE(""https://docs.google.com/spreadsheets/d/1QqKyyYR6Q21VydFLVH3TRQUabQu_ym0Zz7PgGX0-kHA/edit?usp=sharing"",""แผน!FW88"")"),700)</f>
        <v>700</v>
      </c>
      <c r="J466" s="569">
        <f>J495+J498</f>
        <v>700</v>
      </c>
      <c r="K466" s="570">
        <f ca="1">IF(I466&gt;0,J466*100/I466,0)</f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87" t="s">
        <v>17</v>
      </c>
      <c r="E467" s="888"/>
      <c r="F467" s="888"/>
      <c r="G467" s="188"/>
      <c r="H467" s="597" t="s">
        <v>12</v>
      </c>
      <c r="I467" s="269"/>
      <c r="J467" s="269"/>
      <c r="K467" s="497"/>
      <c r="L467" s="194">
        <f ca="1">L468+L469</f>
        <v>558663</v>
      </c>
      <c r="M467" s="194">
        <f ca="1">M468+M469</f>
        <v>570443</v>
      </c>
      <c r="N467" s="194">
        <f>N468+N469</f>
        <v>570443</v>
      </c>
      <c r="O467" s="194">
        <f t="shared" ref="O467:O472" ca="1" si="78">IF(L467&gt;0,N467*100/L467,0)</f>
        <v>102.10860572473925</v>
      </c>
      <c r="P467" s="194">
        <f t="shared" ref="P467:P472" ca="1" si="79">IF(M467&gt;0,N467*100/M467,0)</f>
        <v>100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184</v>
      </c>
      <c r="F468" s="758"/>
      <c r="G468" s="602"/>
      <c r="H468" s="164" t="s">
        <v>12</v>
      </c>
      <c r="I468" s="616"/>
      <c r="J468" s="616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185</v>
      </c>
      <c r="F469" s="758"/>
      <c r="G469" s="602"/>
      <c r="H469" s="164" t="s">
        <v>12</v>
      </c>
      <c r="I469" s="616"/>
      <c r="J469" s="616"/>
      <c r="K469" s="92"/>
      <c r="L469" s="92">
        <f t="shared" ca="1" si="80"/>
        <v>558663</v>
      </c>
      <c r="M469" s="92">
        <f t="shared" ca="1" si="80"/>
        <v>570443</v>
      </c>
      <c r="N469" s="92">
        <f t="shared" si="80"/>
        <v>570443</v>
      </c>
      <c r="O469" s="92">
        <f t="shared" ca="1" si="78"/>
        <v>102.10860572473925</v>
      </c>
      <c r="P469" s="92">
        <f t="shared" ca="1" si="79"/>
        <v>100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8"/>
      <c r="H470" s="160" t="s">
        <v>12</v>
      </c>
      <c r="I470" s="183"/>
      <c r="J470" s="183"/>
      <c r="K470" s="162"/>
      <c r="L470" s="497">
        <f ca="1">L471+L472</f>
        <v>558663</v>
      </c>
      <c r="M470" s="497">
        <f ca="1">M471+M472</f>
        <v>570443</v>
      </c>
      <c r="N470" s="497">
        <f>N471+N472</f>
        <v>570443</v>
      </c>
      <c r="O470" s="497">
        <f t="shared" ca="1" si="78"/>
        <v>102.10860572473925</v>
      </c>
      <c r="P470" s="497">
        <f t="shared" ca="1" si="79"/>
        <v>100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184</v>
      </c>
      <c r="F471" s="758"/>
      <c r="G471" s="602"/>
      <c r="H471" s="164" t="s">
        <v>12</v>
      </c>
      <c r="I471" s="616"/>
      <c r="J471" s="616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185</v>
      </c>
      <c r="F472" s="758"/>
      <c r="G472" s="602"/>
      <c r="H472" s="164" t="s">
        <v>12</v>
      </c>
      <c r="I472" s="616"/>
      <c r="J472" s="616"/>
      <c r="K472" s="92"/>
      <c r="L472" s="92">
        <f ca="1">IFERROR(__xludf.DUMMYFUNCTION("IMPORTRANGE(""https://docs.google.com/spreadsheets/d/1QqKyyYR6Q21VydFLVH3TRQUabQu_ym0Zz7PgGX0-kHA/edit?usp=sharing"",""แผน!FS88"")"),558663)</f>
        <v>558663</v>
      </c>
      <c r="M472" s="92">
        <f ca="1">L472+11780</f>
        <v>570443</v>
      </c>
      <c r="N472" s="92">
        <f>N473+N474+N475+N476</f>
        <v>570443</v>
      </c>
      <c r="O472" s="92">
        <f t="shared" ca="1" si="78"/>
        <v>102.10860572473925</v>
      </c>
      <c r="P472" s="92">
        <f t="shared" ca="1" si="79"/>
        <v>100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826">
        <v>84153</v>
      </c>
      <c r="O473" s="497"/>
      <c r="P473" s="497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826">
        <v>438000</v>
      </c>
      <c r="O474" s="497"/>
      <c r="P474" s="497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826">
        <v>0</v>
      </c>
      <c r="O475" s="497"/>
      <c r="P475" s="497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826">
        <f>43580+360+240+1710+2400</f>
        <v>48290</v>
      </c>
      <c r="O476" s="497"/>
      <c r="P476" s="497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IFERROR(__xludf.DUMMYFUNCTION("IMPORTRANGE(""https://docs.google.com/spreadsheets/d/1QqKyyYR6Q21VydFLVH3TRQUabQu_ym0Zz7PgGX0-kHA/edit?usp=sharing"",""แผน!FV88"")"),0)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43" t="s">
        <v>38</v>
      </c>
      <c r="E480" s="610"/>
      <c r="F480" s="760"/>
      <c r="G480" s="612"/>
      <c r="H480" s="761"/>
      <c r="I480" s="269"/>
      <c r="J480" s="269"/>
      <c r="K480" s="497"/>
      <c r="L480" s="497"/>
      <c r="M480" s="497"/>
      <c r="N480" s="497"/>
      <c r="O480" s="497"/>
      <c r="P480" s="497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206</v>
      </c>
      <c r="E481" s="617"/>
      <c r="F481" s="617"/>
      <c r="G481" s="761"/>
      <c r="H481" s="188"/>
      <c r="I481" s="269"/>
      <c r="J481" s="269"/>
      <c r="K481" s="497"/>
      <c r="L481" s="497"/>
      <c r="M481" s="497"/>
      <c r="N481" s="497"/>
      <c r="O481" s="497"/>
      <c r="P481" s="497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207</v>
      </c>
      <c r="F482" s="617"/>
      <c r="G482" s="761"/>
      <c r="H482" s="188"/>
      <c r="I482" s="269"/>
      <c r="J482" s="269"/>
      <c r="K482" s="497"/>
      <c r="L482" s="497"/>
      <c r="M482" s="497"/>
      <c r="N482" s="497"/>
      <c r="O482" s="497"/>
      <c r="P482" s="497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208</v>
      </c>
      <c r="G483" s="761"/>
      <c r="H483" s="622" t="s">
        <v>46</v>
      </c>
      <c r="I483" s="269">
        <f ca="1">IFERROR(__xludf.DUMMYFUNCTION("IMPORTRANGE(""https://docs.google.com/spreadsheets/d/1QqKyyYR6Q21VydFLVH3TRQUabQu_ym0Zz7PgGX0-kHA/edit?usp=sharing"",""แผน!FY88"")"),630)</f>
        <v>630</v>
      </c>
      <c r="J483" s="214">
        <v>630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209</v>
      </c>
      <c r="G484" s="761"/>
      <c r="H484" s="622" t="s">
        <v>35</v>
      </c>
      <c r="I484" s="269"/>
      <c r="J484" s="214">
        <v>63</v>
      </c>
      <c r="K484" s="497"/>
      <c r="L484" s="497"/>
      <c r="M484" s="497"/>
      <c r="N484" s="497"/>
      <c r="O484" s="497"/>
      <c r="P484" s="497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210</v>
      </c>
      <c r="G485" s="761"/>
      <c r="H485" s="622" t="s">
        <v>35</v>
      </c>
      <c r="I485" s="269">
        <f ca="1">IFERROR(__xludf.DUMMYFUNCTION("IMPORTRANGE(""https://docs.google.com/spreadsheets/d/1QqKyyYR6Q21VydFLVH3TRQUabQu_ym0Zz7PgGX0-kHA/edit?usp=sharing"",""แผน!FZ88"")"),63)</f>
        <v>63</v>
      </c>
      <c r="J485" s="214">
        <v>63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69"/>
      <c r="J486" s="269"/>
      <c r="K486" s="497"/>
      <c r="L486" s="497"/>
      <c r="M486" s="497"/>
      <c r="N486" s="497"/>
      <c r="O486" s="497"/>
      <c r="P486" s="497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208</v>
      </c>
      <c r="G487" s="761"/>
      <c r="H487" s="622" t="s">
        <v>46</v>
      </c>
      <c r="I487" s="269">
        <f ca="1">IFERROR(__xludf.DUMMYFUNCTION("IMPORTRANGE(""https://docs.google.com/spreadsheets/d/1QqKyyYR6Q21VydFLVH3TRQUabQu_ym0Zz7PgGX0-kHA/edit?usp=sharing"",""แผน!GA88"")"),70)</f>
        <v>70</v>
      </c>
      <c r="J487" s="214">
        <v>70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211</v>
      </c>
      <c r="G488" s="761"/>
      <c r="H488" s="622" t="s">
        <v>35</v>
      </c>
      <c r="I488" s="269"/>
      <c r="J488" s="214">
        <v>7</v>
      </c>
      <c r="K488" s="497"/>
      <c r="L488" s="497"/>
      <c r="M488" s="497"/>
      <c r="N488" s="497"/>
      <c r="O488" s="497"/>
      <c r="P488" s="497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212</v>
      </c>
      <c r="G489" s="761"/>
      <c r="H489" s="622" t="s">
        <v>35</v>
      </c>
      <c r="I489" s="269">
        <f ca="1">IFERROR(__xludf.DUMMYFUNCTION("IMPORTRANGE(""https://docs.google.com/spreadsheets/d/1QqKyyYR6Q21VydFLVH3TRQUabQu_ym0Zz7PgGX0-kHA/edit?usp=sharing"",""แผน!GB88"")"),7)</f>
        <v>7</v>
      </c>
      <c r="J489" s="214">
        <v>7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69"/>
      <c r="J490" s="269"/>
      <c r="K490" s="497"/>
      <c r="L490" s="497"/>
      <c r="M490" s="497"/>
      <c r="N490" s="497"/>
      <c r="O490" s="497"/>
      <c r="P490" s="497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213</v>
      </c>
      <c r="G491" s="761"/>
      <c r="H491" s="622" t="s">
        <v>35</v>
      </c>
      <c r="I491" s="269"/>
      <c r="J491" s="214">
        <v>1</v>
      </c>
      <c r="K491" s="497"/>
      <c r="L491" s="497"/>
      <c r="M491" s="497"/>
      <c r="N491" s="497"/>
      <c r="O491" s="497"/>
      <c r="P491" s="497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214</v>
      </c>
      <c r="G492" s="761"/>
      <c r="H492" s="622" t="s">
        <v>35</v>
      </c>
      <c r="I492" s="269">
        <f ca="1">IFERROR(__xludf.DUMMYFUNCTION("IMPORTRANGE(""https://docs.google.com/spreadsheets/d/1QqKyyYR6Q21VydFLVH3TRQUabQu_ym0Zz7PgGX0-kHA/edit?usp=sharing"",""แผน!GC88"")"),1)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8"/>
      <c r="I493" s="269"/>
      <c r="J493" s="269"/>
      <c r="K493" s="497"/>
      <c r="L493" s="497"/>
      <c r="M493" s="497"/>
      <c r="N493" s="497"/>
      <c r="O493" s="497"/>
      <c r="P493" s="497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207</v>
      </c>
      <c r="F494" s="625"/>
      <c r="G494" s="761"/>
      <c r="H494" s="188"/>
      <c r="I494" s="269"/>
      <c r="J494" s="269"/>
      <c r="K494" s="497"/>
      <c r="L494" s="497"/>
      <c r="M494" s="497"/>
      <c r="N494" s="497"/>
      <c r="O494" s="497"/>
      <c r="P494" s="497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215</v>
      </c>
      <c r="G495" s="761"/>
      <c r="H495" s="622" t="s">
        <v>46</v>
      </c>
      <c r="I495" s="269">
        <f ca="1">IFERROR(__xludf.DUMMYFUNCTION("IMPORTRANGE(""https://docs.google.com/spreadsheets/d/1QqKyyYR6Q21VydFLVH3TRQUabQu_ym0Zz7PgGX0-kHA/edit?usp=sharing"",""แผน!FY88"")"),630)</f>
        <v>630</v>
      </c>
      <c r="J495" s="214">
        <v>630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216</v>
      </c>
      <c r="G496" s="761"/>
      <c r="H496" s="622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8"/>
      <c r="I497" s="269"/>
      <c r="J497" s="269"/>
      <c r="K497" s="497"/>
      <c r="L497" s="497"/>
      <c r="M497" s="497"/>
      <c r="N497" s="497"/>
      <c r="O497" s="497"/>
      <c r="P497" s="497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217</v>
      </c>
      <c r="G498" s="761"/>
      <c r="H498" s="622" t="s">
        <v>46</v>
      </c>
      <c r="I498" s="269">
        <f ca="1">IFERROR(__xludf.DUMMYFUNCTION("IMPORTRANGE(""https://docs.google.com/spreadsheets/d/1QqKyyYR6Q21VydFLVH3TRQUabQu_ym0Zz7PgGX0-kHA/edit?usp=sharing"",""แผน!GA88"")"),70)</f>
        <v>70</v>
      </c>
      <c r="J498" s="214">
        <v>70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218</v>
      </c>
      <c r="G499" s="761"/>
      <c r="H499" s="622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219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>J516</f>
        <v>0</v>
      </c>
      <c r="K500" s="633">
        <f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220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>J517</f>
        <v>0</v>
      </c>
      <c r="K501" s="642">
        <f>IF(I501&gt;0,J501*100/I501,0)</f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92" t="s">
        <v>17</v>
      </c>
      <c r="E502" s="888"/>
      <c r="F502" s="888"/>
      <c r="G502" s="602"/>
      <c r="H502" s="645" t="s">
        <v>12</v>
      </c>
      <c r="I502" s="616"/>
      <c r="J502" s="616"/>
      <c r="K502" s="92"/>
      <c r="L502" s="646">
        <f>L503+L504</f>
        <v>0</v>
      </c>
      <c r="M502" s="646">
        <f>M503+M504</f>
        <v>0</v>
      </c>
      <c r="N502" s="646">
        <f>N503+N504</f>
        <v>0</v>
      </c>
      <c r="O502" s="646">
        <f t="shared" ref="O502:O507" si="81">IF(L502&gt;0,N502*100/L502,0)</f>
        <v>0</v>
      </c>
      <c r="P502" s="646">
        <f t="shared" ref="P502:P507" si="82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184</v>
      </c>
      <c r="F503" s="758"/>
      <c r="G503" s="602"/>
      <c r="H503" s="164" t="s">
        <v>12</v>
      </c>
      <c r="I503" s="616"/>
      <c r="J503" s="616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185</v>
      </c>
      <c r="F504" s="758"/>
      <c r="G504" s="602"/>
      <c r="H504" s="164" t="s">
        <v>12</v>
      </c>
      <c r="I504" s="616"/>
      <c r="J504" s="616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184</v>
      </c>
      <c r="F506" s="758"/>
      <c r="G506" s="602"/>
      <c r="H506" s="164" t="s">
        <v>12</v>
      </c>
      <c r="I506" s="616"/>
      <c r="J506" s="616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185</v>
      </c>
      <c r="F507" s="758"/>
      <c r="G507" s="602"/>
      <c r="H507" s="164" t="s">
        <v>12</v>
      </c>
      <c r="I507" s="616"/>
      <c r="J507" s="616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186</v>
      </c>
      <c r="G508" s="602"/>
      <c r="H508" s="164" t="s">
        <v>12</v>
      </c>
      <c r="I508" s="616"/>
      <c r="J508" s="616"/>
      <c r="K508" s="92"/>
      <c r="L508" s="92"/>
      <c r="M508" s="92"/>
      <c r="N508" s="92">
        <v>0</v>
      </c>
      <c r="O508" s="92"/>
      <c r="P508" s="92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187</v>
      </c>
      <c r="G509" s="602"/>
      <c r="H509" s="164" t="s">
        <v>12</v>
      </c>
      <c r="I509" s="616"/>
      <c r="J509" s="616"/>
      <c r="K509" s="92"/>
      <c r="L509" s="92"/>
      <c r="M509" s="92"/>
      <c r="N509" s="92">
        <v>0</v>
      </c>
      <c r="O509" s="92"/>
      <c r="P509" s="92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188</v>
      </c>
      <c r="G510" s="602"/>
      <c r="H510" s="164" t="s">
        <v>12</v>
      </c>
      <c r="I510" s="616"/>
      <c r="J510" s="616"/>
      <c r="K510" s="92"/>
      <c r="L510" s="92"/>
      <c r="M510" s="92"/>
      <c r="N510" s="92">
        <v>0</v>
      </c>
      <c r="O510" s="92"/>
      <c r="P510" s="92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189</v>
      </c>
      <c r="G511" s="602"/>
      <c r="H511" s="164" t="s">
        <v>12</v>
      </c>
      <c r="I511" s="616"/>
      <c r="J511" s="616"/>
      <c r="K511" s="92"/>
      <c r="L511" s="92"/>
      <c r="M511" s="92"/>
      <c r="N511" s="92">
        <v>0</v>
      </c>
      <c r="O511" s="92"/>
      <c r="P511" s="92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42" t="s">
        <v>38</v>
      </c>
      <c r="E515" s="650"/>
      <c r="F515" s="650"/>
      <c r="G515" s="651"/>
      <c r="H515" s="365"/>
      <c r="I515" s="165"/>
      <c r="J515" s="165"/>
      <c r="K515" s="166"/>
      <c r="L515" s="166"/>
      <c r="M515" s="166"/>
      <c r="N515" s="166"/>
      <c r="O515" s="166"/>
      <c r="P515" s="166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221</v>
      </c>
      <c r="E516" s="719"/>
      <c r="F516" s="719"/>
      <c r="G516" s="365"/>
      <c r="H516" s="652" t="s">
        <v>109</v>
      </c>
      <c r="I516" s="616"/>
      <c r="J516" s="616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222</v>
      </c>
      <c r="E517" s="719"/>
      <c r="F517" s="719"/>
      <c r="G517" s="365"/>
      <c r="H517" s="653" t="s">
        <v>35</v>
      </c>
      <c r="I517" s="654"/>
      <c r="J517" s="654">
        <f>J518+J519</f>
        <v>0</v>
      </c>
      <c r="K517" s="655">
        <f>IF(I517&gt;0,J517*100/I517,0)</f>
        <v>0</v>
      </c>
      <c r="L517" s="166"/>
      <c r="M517" s="166"/>
      <c r="N517" s="166"/>
      <c r="O517" s="166"/>
      <c r="P517" s="166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223</v>
      </c>
      <c r="F518" s="719"/>
      <c r="G518" s="365"/>
      <c r="H518" s="369" t="s">
        <v>35</v>
      </c>
      <c r="I518" s="616"/>
      <c r="J518" s="616"/>
      <c r="K518" s="166"/>
      <c r="L518" s="166"/>
      <c r="M518" s="166"/>
      <c r="N518" s="166"/>
      <c r="O518" s="166"/>
      <c r="P518" s="166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224</v>
      </c>
      <c r="F519" s="719"/>
      <c r="G519" s="365"/>
      <c r="H519" s="652" t="s">
        <v>35</v>
      </c>
      <c r="I519" s="616"/>
      <c r="J519" s="616"/>
      <c r="K519" s="166"/>
      <c r="L519" s="166"/>
      <c r="M519" s="166"/>
      <c r="N519" s="166"/>
      <c r="O519" s="166"/>
      <c r="P519" s="166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>
      <c r="A521" s="663">
        <v>5</v>
      </c>
      <c r="B521" s="664" t="s">
        <v>225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>
      <c r="A522" s="670"/>
      <c r="B522" s="671" t="s">
        <v>226</v>
      </c>
      <c r="C522" s="672"/>
      <c r="D522" s="672"/>
      <c r="E522" s="672"/>
      <c r="F522" s="672"/>
      <c r="G522" s="673"/>
      <c r="H522" s="674" t="s">
        <v>35</v>
      </c>
      <c r="I522" s="707">
        <f ca="1">I537</f>
        <v>30</v>
      </c>
      <c r="J522" s="707">
        <f ca="1">J537</f>
        <v>30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>
      <c r="A523" s="596"/>
      <c r="B523" s="762"/>
      <c r="C523" s="762" t="s">
        <v>16</v>
      </c>
      <c r="D523" s="887" t="s">
        <v>17</v>
      </c>
      <c r="E523" s="888"/>
      <c r="F523" s="888"/>
      <c r="G523" s="188"/>
      <c r="H523" s="597" t="s">
        <v>12</v>
      </c>
      <c r="I523" s="269"/>
      <c r="J523" s="269"/>
      <c r="K523" s="497"/>
      <c r="L523" s="194">
        <f ca="1">L524+L525</f>
        <v>277260</v>
      </c>
      <c r="M523" s="194">
        <f ca="1">M524+M525</f>
        <v>301380</v>
      </c>
      <c r="N523" s="194">
        <f>N524+N525</f>
        <v>301380</v>
      </c>
      <c r="O523" s="194">
        <f t="shared" ref="O523:O528" ca="1" si="84">IF(L523&gt;0,N523*100/L523,0)</f>
        <v>108.69941571088509</v>
      </c>
      <c r="P523" s="194">
        <f t="shared" ref="P523:P528" ca="1" si="85">IF(M523&gt;0,N523*100/M523,0)</f>
        <v>100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184</v>
      </c>
      <c r="F524" s="758"/>
      <c r="G524" s="602"/>
      <c r="H524" s="164" t="s">
        <v>12</v>
      </c>
      <c r="I524" s="616"/>
      <c r="J524" s="616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185</v>
      </c>
      <c r="F525" s="758"/>
      <c r="G525" s="602"/>
      <c r="H525" s="164" t="s">
        <v>12</v>
      </c>
      <c r="I525" s="616"/>
      <c r="J525" s="616"/>
      <c r="K525" s="92"/>
      <c r="L525" s="92">
        <f t="shared" ca="1" si="86"/>
        <v>277260</v>
      </c>
      <c r="M525" s="92">
        <f t="shared" ca="1" si="86"/>
        <v>301380</v>
      </c>
      <c r="N525" s="92">
        <f t="shared" si="86"/>
        <v>301380</v>
      </c>
      <c r="O525" s="92">
        <f t="shared" ca="1" si="84"/>
        <v>108.69941571088509</v>
      </c>
      <c r="P525" s="92">
        <f t="shared" ca="1" si="85"/>
        <v>100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>
      <c r="A526" s="596"/>
      <c r="B526" s="574"/>
      <c r="C526" s="762"/>
      <c r="D526" s="605" t="s">
        <v>20</v>
      </c>
      <c r="E526" s="762"/>
      <c r="F526" s="762"/>
      <c r="G526" s="188"/>
      <c r="H526" s="160" t="s">
        <v>12</v>
      </c>
      <c r="I526" s="183"/>
      <c r="J526" s="183"/>
      <c r="K526" s="162"/>
      <c r="L526" s="497">
        <f ca="1">L527+L528</f>
        <v>277260</v>
      </c>
      <c r="M526" s="497">
        <f ca="1">M527+M528</f>
        <v>301380</v>
      </c>
      <c r="N526" s="497">
        <f>N527+N528</f>
        <v>301380</v>
      </c>
      <c r="O526" s="497">
        <f t="shared" ca="1" si="84"/>
        <v>108.69941571088509</v>
      </c>
      <c r="P526" s="497">
        <f t="shared" ca="1" si="85"/>
        <v>100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184</v>
      </c>
      <c r="F527" s="758"/>
      <c r="G527" s="602"/>
      <c r="H527" s="164" t="s">
        <v>12</v>
      </c>
      <c r="I527" s="616"/>
      <c r="J527" s="616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185</v>
      </c>
      <c r="F528" s="758"/>
      <c r="G528" s="602"/>
      <c r="H528" s="164" t="s">
        <v>12</v>
      </c>
      <c r="I528" s="616"/>
      <c r="J528" s="616"/>
      <c r="K528" s="92"/>
      <c r="L528" s="92">
        <f ca="1">IFERROR(__xludf.DUMMYFUNCTION("IMPORTRANGE(""https://docs.google.com/spreadsheets/d/1QqKyyYR6Q21VydFLVH3TRQUabQu_ym0Zz7PgGX0-kHA/edit?usp=sharing"",""แผน!GQ88"")"),277260)</f>
        <v>277260</v>
      </c>
      <c r="M528" s="92">
        <f ca="1">L528+40100-15980</f>
        <v>301380</v>
      </c>
      <c r="N528" s="92">
        <f>N529+N530+N531+N532</f>
        <v>301380</v>
      </c>
      <c r="O528" s="92">
        <f t="shared" ca="1" si="84"/>
        <v>108.69941571088509</v>
      </c>
      <c r="P528" s="92">
        <f t="shared" ca="1" si="85"/>
        <v>100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>
      <c r="A529" s="573"/>
      <c r="B529" s="574"/>
      <c r="C529" s="762"/>
      <c r="D529" s="762"/>
      <c r="E529" s="762"/>
      <c r="F529" s="762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826">
        <v>94500</v>
      </c>
      <c r="O529" s="497"/>
      <c r="P529" s="497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>
      <c r="A530" s="573"/>
      <c r="B530" s="574"/>
      <c r="C530" s="762"/>
      <c r="D530" s="762"/>
      <c r="E530" s="762"/>
      <c r="F530" s="762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826">
        <f>126800+18100+5100</f>
        <v>150000</v>
      </c>
      <c r="O530" s="497"/>
      <c r="P530" s="497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>
      <c r="A531" s="573"/>
      <c r="B531" s="574"/>
      <c r="C531" s="762"/>
      <c r="D531" s="762"/>
      <c r="E531" s="762"/>
      <c r="F531" s="762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826">
        <v>0</v>
      </c>
      <c r="O531" s="497"/>
      <c r="P531" s="497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>
      <c r="A532" s="573"/>
      <c r="B532" s="574"/>
      <c r="C532" s="762"/>
      <c r="D532" s="762"/>
      <c r="E532" s="762"/>
      <c r="F532" s="762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826">
        <f>47710+9170</f>
        <v>56880</v>
      </c>
      <c r="O532" s="497"/>
      <c r="P532" s="497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>
      <c r="A533" s="596"/>
      <c r="B533" s="574"/>
      <c r="C533" s="762"/>
      <c r="D533" s="605" t="s">
        <v>21</v>
      </c>
      <c r="E533" s="762"/>
      <c r="F533" s="762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IFERROR(__xludf.DUMMYFUNCTION("IMPORTRANGE(""https://docs.google.com/spreadsheets/d/1QqKyyYR6Q21VydFLVH3TRQUabQu_ym0Zz7PgGX0-kHA/edit?usp=sharing"",""แผน!GT88"")"),0)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>
      <c r="A536" s="607"/>
      <c r="B536" s="617"/>
      <c r="C536" s="762" t="s">
        <v>16</v>
      </c>
      <c r="D536" s="841" t="s">
        <v>38</v>
      </c>
      <c r="E536" s="760"/>
      <c r="F536" s="760"/>
      <c r="G536" s="612"/>
      <c r="H536" s="761"/>
      <c r="I536" s="183"/>
      <c r="J536" s="183"/>
      <c r="K536" s="162"/>
      <c r="L536" s="162"/>
      <c r="M536" s="162"/>
      <c r="N536" s="162"/>
      <c r="O536" s="162"/>
      <c r="P536" s="162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>
      <c r="A537" s="573"/>
      <c r="B537" s="574"/>
      <c r="C537" s="762"/>
      <c r="D537" s="762" t="s">
        <v>227</v>
      </c>
      <c r="E537" s="762"/>
      <c r="F537" s="762"/>
      <c r="G537" s="188"/>
      <c r="H537" s="622" t="s">
        <v>35</v>
      </c>
      <c r="I537" s="680">
        <f ca="1">IFERROR(__xludf.DUMMYFUNCTION("IMPORTRANGE(""https://docs.google.com/spreadsheets/d/1QqKyyYR6Q21VydFLVH3TRQUabQu_ym0Zz7PgGX0-kHA/edit?usp=sharing"",""แผน!GU88"")"),30)</f>
        <v>30</v>
      </c>
      <c r="J537" s="680">
        <f ca="1">IF(AND(J538=I538,J539=I539,J540=I540,J541=I541),I537,0)</f>
        <v>30</v>
      </c>
      <c r="K537" s="497">
        <f t="shared" ref="K537:K543" ca="1" si="87">IF(I537&gt;0,J537*100/I537,0)</f>
        <v>100</v>
      </c>
      <c r="L537" s="497"/>
      <c r="M537" s="497"/>
      <c r="N537" s="497"/>
      <c r="O537" s="497"/>
      <c r="P537" s="497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>
      <c r="A538" s="573"/>
      <c r="B538" s="574"/>
      <c r="C538" s="762"/>
      <c r="D538" s="762"/>
      <c r="E538" s="762" t="s">
        <v>228</v>
      </c>
      <c r="F538" s="762"/>
      <c r="G538" s="188"/>
      <c r="H538" s="622" t="s">
        <v>35</v>
      </c>
      <c r="I538" s="269">
        <f ca="1">IFERROR(__xludf.DUMMYFUNCTION("IMPORTRANGE(""https://docs.google.com/spreadsheets/d/1QqKyyYR6Q21VydFLVH3TRQUabQu_ym0Zz7PgGX0-kHA/edit?usp=sharing"",""แผน!GV88"")"),30)</f>
        <v>30</v>
      </c>
      <c r="J538" s="214">
        <v>30</v>
      </c>
      <c r="K538" s="497">
        <f t="shared" ca="1" si="87"/>
        <v>100</v>
      </c>
      <c r="L538" s="497"/>
      <c r="M538" s="497"/>
      <c r="N538" s="497"/>
      <c r="O538" s="497"/>
      <c r="P538" s="497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>
      <c r="A539" s="573"/>
      <c r="B539" s="574"/>
      <c r="C539" s="762"/>
      <c r="D539" s="762"/>
      <c r="E539" s="762" t="s">
        <v>229</v>
      </c>
      <c r="F539" s="762"/>
      <c r="G539" s="188"/>
      <c r="H539" s="622" t="s">
        <v>35</v>
      </c>
      <c r="I539" s="269">
        <f ca="1">IFERROR(__xludf.DUMMYFUNCTION("IMPORTRANGE(""https://docs.google.com/spreadsheets/d/1QqKyyYR6Q21VydFLVH3TRQUabQu_ym0Zz7PgGX0-kHA/edit?usp=sharing"",""แผน!GW88"")"),0)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>
      <c r="A540" s="573"/>
      <c r="B540" s="574"/>
      <c r="C540" s="762"/>
      <c r="D540" s="762"/>
      <c r="E540" s="762" t="s">
        <v>230</v>
      </c>
      <c r="F540" s="762"/>
      <c r="G540" s="188"/>
      <c r="H540" s="622" t="s">
        <v>35</v>
      </c>
      <c r="I540" s="269">
        <f ca="1">IFERROR(__xludf.DUMMYFUNCTION("IMPORTRANGE(""https://docs.google.com/spreadsheets/d/1QqKyyYR6Q21VydFLVH3TRQUabQu_ym0Zz7PgGX0-kHA/edit?usp=sharing"",""แผน!GX88"")"),0)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>
      <c r="A541" s="573"/>
      <c r="B541" s="574"/>
      <c r="C541" s="762"/>
      <c r="D541" s="762"/>
      <c r="E541" s="768" t="s">
        <v>231</v>
      </c>
      <c r="F541" s="762"/>
      <c r="G541" s="188"/>
      <c r="H541" s="622" t="s">
        <v>35</v>
      </c>
      <c r="I541" s="269">
        <f ca="1">IFERROR(__xludf.DUMMYFUNCTION("IMPORTRANGE(""https://docs.google.com/spreadsheets/d/1QqKyyYR6Q21VydFLVH3TRQUabQu_ym0Zz7PgGX0-kHA/edit?usp=sharing"",""แผน!GY88"")"),30)</f>
        <v>30</v>
      </c>
      <c r="J541" s="214">
        <v>30</v>
      </c>
      <c r="K541" s="497">
        <f t="shared" ca="1" si="87"/>
        <v>100</v>
      </c>
      <c r="L541" s="497"/>
      <c r="M541" s="497"/>
      <c r="N541" s="497"/>
      <c r="O541" s="497"/>
      <c r="P541" s="497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>
      <c r="A542" s="573"/>
      <c r="B542" s="574"/>
      <c r="C542" s="762"/>
      <c r="D542" s="762" t="s">
        <v>59</v>
      </c>
      <c r="E542" s="762"/>
      <c r="F542" s="762"/>
      <c r="G542" s="188"/>
      <c r="H542" s="622" t="s">
        <v>35</v>
      </c>
      <c r="I542" s="269">
        <f ca="1">IFERROR(__xludf.DUMMYFUNCTION("IMPORTRANGE(""https://docs.google.com/spreadsheets/d/1QqKyyYR6Q21VydFLVH3TRQUabQu_ym0Zz7PgGX0-kHA/edit?usp=sharing"",""แผน!GZ88"")"),30)</f>
        <v>30</v>
      </c>
      <c r="J542" s="214">
        <v>30</v>
      </c>
      <c r="K542" s="497">
        <f t="shared" ca="1" si="87"/>
        <v>100</v>
      </c>
      <c r="L542" s="497"/>
      <c r="M542" s="497"/>
      <c r="N542" s="497"/>
      <c r="O542" s="497"/>
      <c r="P542" s="497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232</v>
      </c>
      <c r="C543" s="666"/>
      <c r="D543" s="666"/>
      <c r="E543" s="666"/>
      <c r="F543" s="666"/>
      <c r="G543" s="667"/>
      <c r="H543" s="685" t="s">
        <v>46</v>
      </c>
      <c r="I543" s="686">
        <f ca="1">I559</f>
        <v>89214.76</v>
      </c>
      <c r="J543" s="686">
        <f>J559</f>
        <v>89214.760000000009</v>
      </c>
      <c r="K543" s="687">
        <f t="shared" ca="1" si="87"/>
        <v>100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911" t="s">
        <v>17</v>
      </c>
      <c r="E544" s="890"/>
      <c r="F544" s="890"/>
      <c r="G544" s="690"/>
      <c r="H544" s="274" t="s">
        <v>12</v>
      </c>
      <c r="I544" s="420"/>
      <c r="J544" s="420"/>
      <c r="K544" s="153"/>
      <c r="L544" s="154">
        <f ca="1">L545+L546</f>
        <v>780665</v>
      </c>
      <c r="M544" s="154">
        <f ca="1">M545+M546</f>
        <v>1134110.05</v>
      </c>
      <c r="N544" s="154">
        <f>N545+N546</f>
        <v>1134110.0499999998</v>
      </c>
      <c r="O544" s="154">
        <f t="shared" ref="O544:O549" ca="1" si="88">IF(L544&gt;0,N544*100/L544,0)</f>
        <v>145.27486822132411</v>
      </c>
      <c r="P544" s="154">
        <f t="shared" ref="P544:P549" ca="1" si="89">IF(M544&gt;0,N544*100/M544,0)</f>
        <v>99.999999999999986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184</v>
      </c>
      <c r="F545" s="758"/>
      <c r="G545" s="602"/>
      <c r="H545" s="164" t="s">
        <v>12</v>
      </c>
      <c r="I545" s="616"/>
      <c r="J545" s="616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185</v>
      </c>
      <c r="F546" s="758"/>
      <c r="G546" s="602"/>
      <c r="H546" s="164" t="s">
        <v>12</v>
      </c>
      <c r="I546" s="616"/>
      <c r="J546" s="616"/>
      <c r="K546" s="92"/>
      <c r="L546" s="92">
        <f ca="1">L549+L557</f>
        <v>780665</v>
      </c>
      <c r="M546" s="92">
        <f ca="1">M549+M556</f>
        <v>1134110.05</v>
      </c>
      <c r="N546" s="92">
        <f>N549+N556</f>
        <v>1134110.0499999998</v>
      </c>
      <c r="O546" s="92">
        <f t="shared" ca="1" si="88"/>
        <v>145.27486822132411</v>
      </c>
      <c r="P546" s="92">
        <f t="shared" ca="1" si="89"/>
        <v>99.999999999999986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8"/>
      <c r="H547" s="160" t="s">
        <v>12</v>
      </c>
      <c r="I547" s="183"/>
      <c r="J547" s="183"/>
      <c r="K547" s="162"/>
      <c r="L547" s="497">
        <f ca="1">L548+L549</f>
        <v>780665</v>
      </c>
      <c r="M547" s="497">
        <f ca="1">M548+M549</f>
        <v>1134110.05</v>
      </c>
      <c r="N547" s="497">
        <f>N548+N549</f>
        <v>1134110.0499999998</v>
      </c>
      <c r="O547" s="497">
        <f t="shared" ca="1" si="88"/>
        <v>145.27486822132411</v>
      </c>
      <c r="P547" s="497">
        <f t="shared" ca="1" si="89"/>
        <v>99.999999999999986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184</v>
      </c>
      <c r="F548" s="758"/>
      <c r="G548" s="602"/>
      <c r="H548" s="164" t="s">
        <v>12</v>
      </c>
      <c r="I548" s="616"/>
      <c r="J548" s="616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185</v>
      </c>
      <c r="F549" s="758"/>
      <c r="G549" s="602"/>
      <c r="H549" s="164" t="s">
        <v>12</v>
      </c>
      <c r="I549" s="616"/>
      <c r="J549" s="616"/>
      <c r="K549" s="92"/>
      <c r="L549" s="92">
        <f ca="1">IFERROR(__xludf.DUMMYFUNCTION("IMPORTRANGE(""https://docs.google.com/spreadsheets/d/1QqKyyYR6Q21VydFLVH3TRQUabQu_ym0Zz7PgGX0-kHA/edit?usp=sharing"",""แผน!HB88"")"),780665)</f>
        <v>780665</v>
      </c>
      <c r="M549" s="92">
        <f ca="1">L549+399795-46249.95-100</f>
        <v>1134110.05</v>
      </c>
      <c r="N549" s="92">
        <f>N550+N551+N552+N553+N554</f>
        <v>1134110.0499999998</v>
      </c>
      <c r="O549" s="92">
        <f t="shared" ca="1" si="88"/>
        <v>145.27486822132411</v>
      </c>
      <c r="P549" s="92">
        <f t="shared" ca="1" si="89"/>
        <v>99.999999999999986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826">
        <v>0</v>
      </c>
      <c r="O550" s="497"/>
      <c r="P550" s="497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826">
        <v>0</v>
      </c>
      <c r="O551" s="497"/>
      <c r="P551" s="497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826">
        <f>24266.68+13000+13000+13000+13000+13000+13000+12566.67+13000+13000</f>
        <v>140833.34999999998</v>
      </c>
      <c r="O552" s="497"/>
      <c r="P552" s="497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826">
        <f>515959.62+11500+28500+6208+10070+960+5690+3043+11651.08</f>
        <v>593581.69999999995</v>
      </c>
      <c r="O553" s="497"/>
      <c r="P553" s="497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826">
        <f>220000+178195+2000+1500-2000</f>
        <v>399695</v>
      </c>
      <c r="O554" s="497"/>
      <c r="P554" s="497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IFERROR(__xludf.DUMMYFUNCTION("IMPORTRANGE(""https://docs.google.com/spreadsheets/d/1QqKyyYR6Q21VydFLVH3TRQUabQu_ym0Zz7PgGX0-kHA/edit?usp=sharing"",""แผน!HF88"")"),0)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41" t="s">
        <v>38</v>
      </c>
      <c r="E558" s="760"/>
      <c r="F558" s="760"/>
      <c r="G558" s="612"/>
      <c r="H558" s="761"/>
      <c r="I558" s="183"/>
      <c r="J558" s="183"/>
      <c r="K558" s="162"/>
      <c r="L558" s="162"/>
      <c r="M558" s="162"/>
      <c r="N558" s="162"/>
      <c r="O558" s="162"/>
      <c r="P558" s="162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234</v>
      </c>
      <c r="C559" s="693"/>
      <c r="D559" s="693"/>
      <c r="E559" s="672"/>
      <c r="F559" s="672"/>
      <c r="G559" s="673"/>
      <c r="H559" s="694" t="s">
        <v>46</v>
      </c>
      <c r="I559" s="707">
        <f ca="1">I576</f>
        <v>89214.76</v>
      </c>
      <c r="J559" s="707">
        <f>J576</f>
        <v>89214.760000000009</v>
      </c>
      <c r="K559" s="676">
        <f ca="1">IF(I559&gt;0,J559*100/I559,0)</f>
        <v>100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235</v>
      </c>
      <c r="D560" s="617"/>
      <c r="E560" s="625"/>
      <c r="F560" s="625"/>
      <c r="G560" s="761"/>
      <c r="H560" s="766" t="s">
        <v>46</v>
      </c>
      <c r="I560" s="192">
        <f ca="1">IFERROR(__xludf.DUMMYFUNCTION("IMPORTRANGE(""https://docs.google.com/spreadsheets/d/1QqKyyYR6Q21VydFLVH3TRQUabQu_ym0Zz7PgGX0-kHA/edit?usp=sharing"",""แผน!HH88"")"),89214.76)</f>
        <v>89214.76</v>
      </c>
      <c r="J560" s="192">
        <f>J562+J564+J566</f>
        <v>89216</v>
      </c>
      <c r="K560" s="411">
        <f ca="1">IF(I560&gt;0,J560*100/I560,0)</f>
        <v>100.00138990454046</v>
      </c>
      <c r="L560" s="162"/>
      <c r="M560" s="162"/>
      <c r="N560" s="162"/>
      <c r="O560" s="162"/>
      <c r="P560" s="162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2">
        <f ca="1">IFERROR(__xludf.DUMMYFUNCTION("IMPORTRANGE(""https://docs.google.com/spreadsheets/d/1QqKyyYR6Q21VydFLVH3TRQUabQu_ym0Zz7PgGX0-kHA/edit?usp=sharing"",""แผน!HG88"")"),7593)</f>
        <v>7593</v>
      </c>
      <c r="J561" s="192">
        <f>J563+J565+J567</f>
        <v>7593</v>
      </c>
      <c r="K561" s="411">
        <f ca="1">IF(I561&gt;0,J561*100/I561,0)</f>
        <v>100</v>
      </c>
      <c r="L561" s="162"/>
      <c r="M561" s="162"/>
      <c r="N561" s="162"/>
      <c r="O561" s="162"/>
      <c r="P561" s="162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236</v>
      </c>
      <c r="E562" s="625"/>
      <c r="F562" s="625"/>
      <c r="G562" s="761"/>
      <c r="H562" s="763" t="s">
        <v>46</v>
      </c>
      <c r="I562" s="183"/>
      <c r="J562" s="214">
        <v>79903</v>
      </c>
      <c r="K562" s="162"/>
      <c r="L562" s="162"/>
      <c r="M562" s="162"/>
      <c r="N562" s="162"/>
      <c r="O562" s="162"/>
      <c r="P562" s="162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3"/>
      <c r="J563" s="214">
        <v>6728</v>
      </c>
      <c r="K563" s="162"/>
      <c r="L563" s="162"/>
      <c r="M563" s="162"/>
      <c r="N563" s="162"/>
      <c r="O563" s="162"/>
      <c r="P563" s="162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237</v>
      </c>
      <c r="E564" s="625"/>
      <c r="F564" s="625"/>
      <c r="G564" s="761"/>
      <c r="H564" s="763" t="s">
        <v>46</v>
      </c>
      <c r="I564" s="183"/>
      <c r="J564" s="214">
        <v>8439</v>
      </c>
      <c r="K564" s="162"/>
      <c r="L564" s="162"/>
      <c r="M564" s="162"/>
      <c r="N564" s="162"/>
      <c r="O564" s="162"/>
      <c r="P564" s="162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3"/>
      <c r="J565" s="214">
        <v>781</v>
      </c>
      <c r="K565" s="162"/>
      <c r="L565" s="162"/>
      <c r="M565" s="162"/>
      <c r="N565" s="162"/>
      <c r="O565" s="162"/>
      <c r="P565" s="162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238</v>
      </c>
      <c r="E566" s="625"/>
      <c r="F566" s="625"/>
      <c r="G566" s="761"/>
      <c r="H566" s="763" t="s">
        <v>46</v>
      </c>
      <c r="I566" s="183"/>
      <c r="J566" s="214">
        <v>874</v>
      </c>
      <c r="K566" s="162"/>
      <c r="L566" s="162"/>
      <c r="M566" s="162"/>
      <c r="N566" s="162"/>
      <c r="O566" s="162"/>
      <c r="P566" s="162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3"/>
      <c r="J567" s="214">
        <v>84</v>
      </c>
      <c r="K567" s="162"/>
      <c r="L567" s="162"/>
      <c r="M567" s="162"/>
      <c r="N567" s="162"/>
      <c r="O567" s="162"/>
      <c r="P567" s="162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239</v>
      </c>
      <c r="D568" s="625"/>
      <c r="E568" s="625"/>
      <c r="F568" s="625"/>
      <c r="G568" s="761"/>
      <c r="H568" s="766" t="s">
        <v>46</v>
      </c>
      <c r="I568" s="192">
        <f ca="1">IFERROR(__xludf.DUMMYFUNCTION("IMPORTRANGE(""https://docs.google.com/spreadsheets/d/1QqKyyYR6Q21VydFLVH3TRQUabQu_ym0Zz7PgGX0-kHA/edit?usp=sharing"",""แผน!HH88"")"),89214.76)</f>
        <v>89214.76</v>
      </c>
      <c r="J568" s="680">
        <f>J570+J572+J574</f>
        <v>89214</v>
      </c>
      <c r="K568" s="411">
        <f ca="1">IF(I568&gt;0,J568*100/I568,0)</f>
        <v>99.999148123023602</v>
      </c>
      <c r="L568" s="162"/>
      <c r="M568" s="162"/>
      <c r="N568" s="162"/>
      <c r="O568" s="162"/>
      <c r="P568" s="162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2">
        <f ca="1">IFERROR(__xludf.DUMMYFUNCTION("IMPORTRANGE(""https://docs.google.com/spreadsheets/d/1QqKyyYR6Q21VydFLVH3TRQUabQu_ym0Zz7PgGX0-kHA/edit?usp=sharing"",""แผน!HG88"")"),7593)</f>
        <v>7593</v>
      </c>
      <c r="J569" s="680">
        <f>J571+J573+J575</f>
        <v>7593</v>
      </c>
      <c r="K569" s="411">
        <f ca="1">IF(I569&gt;0,J569*100/I569,0)</f>
        <v>100</v>
      </c>
      <c r="L569" s="162"/>
      <c r="M569" s="162"/>
      <c r="N569" s="162"/>
      <c r="O569" s="162"/>
      <c r="P569" s="162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240</v>
      </c>
      <c r="E570" s="617"/>
      <c r="F570" s="625"/>
      <c r="G570" s="761"/>
      <c r="H570" s="763" t="s">
        <v>46</v>
      </c>
      <c r="I570" s="183"/>
      <c r="J570" s="214">
        <v>87382</v>
      </c>
      <c r="K570" s="162"/>
      <c r="L570" s="162"/>
      <c r="M570" s="162"/>
      <c r="N570" s="162"/>
      <c r="O570" s="162"/>
      <c r="P570" s="162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3"/>
      <c r="J571" s="214">
        <v>7379</v>
      </c>
      <c r="K571" s="162"/>
      <c r="L571" s="162"/>
      <c r="M571" s="162"/>
      <c r="N571" s="162"/>
      <c r="O571" s="162"/>
      <c r="P571" s="162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241</v>
      </c>
      <c r="E572" s="625"/>
      <c r="F572" s="625"/>
      <c r="G572" s="761"/>
      <c r="H572" s="763" t="s">
        <v>46</v>
      </c>
      <c r="I572" s="183"/>
      <c r="J572" s="214">
        <v>838</v>
      </c>
      <c r="K572" s="162"/>
      <c r="L572" s="162"/>
      <c r="M572" s="162"/>
      <c r="N572" s="162"/>
      <c r="O572" s="162"/>
      <c r="P572" s="162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3"/>
      <c r="J573" s="214">
        <v>116</v>
      </c>
      <c r="K573" s="162"/>
      <c r="L573" s="162"/>
      <c r="M573" s="162"/>
      <c r="N573" s="162"/>
      <c r="O573" s="162"/>
      <c r="P573" s="162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242</v>
      </c>
      <c r="E574" s="625"/>
      <c r="F574" s="625"/>
      <c r="G574" s="761"/>
      <c r="H574" s="763" t="s">
        <v>46</v>
      </c>
      <c r="I574" s="183"/>
      <c r="J574" s="214">
        <v>994</v>
      </c>
      <c r="K574" s="162"/>
      <c r="L574" s="162"/>
      <c r="M574" s="162"/>
      <c r="N574" s="162"/>
      <c r="O574" s="162"/>
      <c r="P574" s="162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3"/>
      <c r="J575" s="214">
        <v>98</v>
      </c>
      <c r="K575" s="162"/>
      <c r="L575" s="162"/>
      <c r="M575" s="162"/>
      <c r="N575" s="162"/>
      <c r="O575" s="162"/>
      <c r="P575" s="162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243</v>
      </c>
      <c r="D576" s="617"/>
      <c r="E576" s="617"/>
      <c r="F576" s="625"/>
      <c r="G576" s="761"/>
      <c r="H576" s="766" t="s">
        <v>46</v>
      </c>
      <c r="I576" s="192">
        <f ca="1">IFERROR(__xludf.DUMMYFUNCTION("IMPORTRANGE(""https://docs.google.com/spreadsheets/d/1QqKyyYR6Q21VydFLVH3TRQUabQu_ym0Zz7PgGX0-kHA/edit?usp=sharing"",""แผน!HH88"")"),89214.76)</f>
        <v>89214.76</v>
      </c>
      <c r="J576" s="680">
        <f>J578+J580+J582+J588+J590</f>
        <v>89214.760000000009</v>
      </c>
      <c r="K576" s="411">
        <f ca="1">IF(I576&gt;0,J576*100/I576,0)</f>
        <v>100</v>
      </c>
      <c r="L576" s="162"/>
      <c r="M576" s="162"/>
      <c r="N576" s="162"/>
      <c r="O576" s="162"/>
      <c r="P576" s="162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2">
        <f ca="1">IFERROR(__xludf.DUMMYFUNCTION("IMPORTRANGE(""https://docs.google.com/spreadsheets/d/1QqKyyYR6Q21VydFLVH3TRQUabQu_ym0Zz7PgGX0-kHA/edit?usp=sharing"",""แผน!HG88"")"),7593)</f>
        <v>7593</v>
      </c>
      <c r="J577" s="680">
        <f>J579+J581+J583+J589+J591</f>
        <v>7593</v>
      </c>
      <c r="K577" s="411">
        <f ca="1">IF(I577&gt;0,J577*100/I577,0)</f>
        <v>100</v>
      </c>
      <c r="L577" s="162"/>
      <c r="M577" s="162"/>
      <c r="N577" s="162"/>
      <c r="O577" s="162"/>
      <c r="P577" s="162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244</v>
      </c>
      <c r="E578" s="625"/>
      <c r="F578" s="625"/>
      <c r="G578" s="761"/>
      <c r="H578" s="763" t="s">
        <v>46</v>
      </c>
      <c r="I578" s="183"/>
      <c r="J578" s="214">
        <v>81981.872499999998</v>
      </c>
      <c r="K578" s="162"/>
      <c r="L578" s="162"/>
      <c r="M578" s="162"/>
      <c r="N578" s="162"/>
      <c r="O578" s="162"/>
      <c r="P578" s="162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3"/>
      <c r="J579" s="214">
        <v>6901</v>
      </c>
      <c r="K579" s="162"/>
      <c r="L579" s="162"/>
      <c r="M579" s="162"/>
      <c r="N579" s="162"/>
      <c r="O579" s="162"/>
      <c r="P579" s="162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245</v>
      </c>
      <c r="E580" s="625"/>
      <c r="F580" s="625"/>
      <c r="G580" s="761"/>
      <c r="H580" s="763" t="s">
        <v>46</v>
      </c>
      <c r="I580" s="183"/>
      <c r="J580" s="875">
        <v>0.25750000000000001</v>
      </c>
      <c r="K580" s="162"/>
      <c r="L580" s="162"/>
      <c r="M580" s="162"/>
      <c r="N580" s="162"/>
      <c r="O580" s="162"/>
      <c r="P580" s="162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3"/>
      <c r="J581" s="214">
        <v>1</v>
      </c>
      <c r="K581" s="162"/>
      <c r="L581" s="162"/>
      <c r="M581" s="162"/>
      <c r="N581" s="162"/>
      <c r="O581" s="162"/>
      <c r="P581" s="162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246</v>
      </c>
      <c r="E582" s="625"/>
      <c r="F582" s="625"/>
      <c r="G582" s="761"/>
      <c r="H582" s="763" t="s">
        <v>46</v>
      </c>
      <c r="I582" s="183"/>
      <c r="J582" s="680">
        <f>J584+J586</f>
        <v>1055.6575</v>
      </c>
      <c r="K582" s="411"/>
      <c r="L582" s="162"/>
      <c r="M582" s="162"/>
      <c r="N582" s="162"/>
      <c r="O582" s="162"/>
      <c r="P582" s="162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3"/>
      <c r="J583" s="680">
        <f>J585+J587</f>
        <v>103</v>
      </c>
      <c r="K583" s="411"/>
      <c r="L583" s="162"/>
      <c r="M583" s="162"/>
      <c r="N583" s="162"/>
      <c r="O583" s="162"/>
      <c r="P583" s="162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247</v>
      </c>
      <c r="F584" s="625"/>
      <c r="G584" s="761"/>
      <c r="H584" s="763" t="s">
        <v>46</v>
      </c>
      <c r="I584" s="183"/>
      <c r="J584" s="214">
        <v>1055.6575</v>
      </c>
      <c r="K584" s="162"/>
      <c r="L584" s="162"/>
      <c r="M584" s="162"/>
      <c r="N584" s="162"/>
      <c r="O584" s="162"/>
      <c r="P584" s="162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3"/>
      <c r="J585" s="214">
        <v>103</v>
      </c>
      <c r="K585" s="162"/>
      <c r="L585" s="162"/>
      <c r="M585" s="162"/>
      <c r="N585" s="162"/>
      <c r="O585" s="162"/>
      <c r="P585" s="162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248</v>
      </c>
      <c r="F586" s="625"/>
      <c r="G586" s="761"/>
      <c r="H586" s="763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249</v>
      </c>
      <c r="E588" s="625"/>
      <c r="F588" s="625"/>
      <c r="G588" s="761"/>
      <c r="H588" s="763" t="s">
        <v>46</v>
      </c>
      <c r="I588" s="183"/>
      <c r="J588" s="214">
        <v>6176.9724999999999</v>
      </c>
      <c r="K588" s="162"/>
      <c r="L588" s="162"/>
      <c r="M588" s="162"/>
      <c r="N588" s="162"/>
      <c r="O588" s="162"/>
      <c r="P588" s="162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3"/>
      <c r="J589" s="214">
        <v>588</v>
      </c>
      <c r="K589" s="162"/>
      <c r="L589" s="162"/>
      <c r="M589" s="162"/>
      <c r="N589" s="162"/>
      <c r="O589" s="162"/>
      <c r="P589" s="162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250</v>
      </c>
      <c r="E590" s="625"/>
      <c r="F590" s="625"/>
      <c r="G590" s="761"/>
      <c r="H590" s="763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251</v>
      </c>
      <c r="C592" s="693"/>
      <c r="D592" s="693"/>
      <c r="E592" s="672"/>
      <c r="F592" s="672"/>
      <c r="G592" s="673"/>
      <c r="H592" s="694" t="s">
        <v>46</v>
      </c>
      <c r="I592" s="702">
        <f ca="1">I593</f>
        <v>15712.62</v>
      </c>
      <c r="J592" s="707">
        <f>J593</f>
        <v>15713</v>
      </c>
      <c r="K592" s="676">
        <f ca="1">IF(I592&gt;0,J592*100/I592,0)</f>
        <v>100.00241843817263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252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IFERROR(__xludf.DUMMYFUNCTION("IMPORTRANGE(""https://docs.google.com/spreadsheets/d/1QqKyyYR6Q21VydFLVH3TRQUabQu_ym0Zz7PgGX0-kHA/edit?usp=sharing"",""แผน!HJ88"")"),15712.62)</f>
        <v>15712.62</v>
      </c>
      <c r="J593" s="192">
        <f>J595+J603+J609</f>
        <v>15713</v>
      </c>
      <c r="K593" s="411">
        <f ca="1">IF(I593&gt;0,J593*100/I593,0)</f>
        <v>100.00241843817263</v>
      </c>
      <c r="L593" s="162"/>
      <c r="M593" s="162"/>
      <c r="N593" s="162"/>
      <c r="O593" s="162"/>
      <c r="P593" s="162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2">
        <f ca="1">IFERROR(__xludf.DUMMYFUNCTION("IMPORTRANGE(""https://docs.google.com/spreadsheets/d/1QqKyyYR6Q21VydFLVH3TRQUabQu_ym0Zz7PgGX0-kHA/edit?usp=sharing"",""แผน!HI88"")"),1172)</f>
        <v>1172</v>
      </c>
      <c r="J594" s="192">
        <f>J596+J604+J610</f>
        <v>1172</v>
      </c>
      <c r="K594" s="411">
        <f ca="1">IF(I594&gt;0,J594*100/I594,0)</f>
        <v>100</v>
      </c>
      <c r="L594" s="162"/>
      <c r="M594" s="162"/>
      <c r="N594" s="162"/>
      <c r="O594" s="162"/>
      <c r="P594" s="162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253</v>
      </c>
      <c r="D595" s="617"/>
      <c r="E595" s="617"/>
      <c r="F595" s="625"/>
      <c r="G595" s="761"/>
      <c r="H595" s="763" t="s">
        <v>46</v>
      </c>
      <c r="I595" s="183"/>
      <c r="J595" s="183">
        <f>J597+J599</f>
        <v>15586</v>
      </c>
      <c r="K595" s="162"/>
      <c r="L595" s="162"/>
      <c r="M595" s="162"/>
      <c r="N595" s="162"/>
      <c r="O595" s="162"/>
      <c r="P595" s="162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3"/>
      <c r="J596" s="183">
        <f>J598+J600</f>
        <v>1166</v>
      </c>
      <c r="K596" s="162"/>
      <c r="L596" s="162"/>
      <c r="M596" s="162"/>
      <c r="N596" s="162"/>
      <c r="O596" s="162"/>
      <c r="P596" s="162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254</v>
      </c>
      <c r="E597" s="625"/>
      <c r="F597" s="625"/>
      <c r="G597" s="761"/>
      <c r="H597" s="763" t="s">
        <v>46</v>
      </c>
      <c r="I597" s="183"/>
      <c r="J597" s="214">
        <v>15551</v>
      </c>
      <c r="K597" s="162"/>
      <c r="L597" s="162"/>
      <c r="M597" s="162"/>
      <c r="N597" s="162"/>
      <c r="O597" s="162"/>
      <c r="P597" s="162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69"/>
      <c r="J598" s="214">
        <v>1162</v>
      </c>
      <c r="K598" s="162"/>
      <c r="L598" s="162"/>
      <c r="M598" s="162"/>
      <c r="N598" s="162"/>
      <c r="O598" s="162"/>
      <c r="P598" s="162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255</v>
      </c>
      <c r="E599" s="625"/>
      <c r="F599" s="625"/>
      <c r="G599" s="761"/>
      <c r="H599" s="763" t="s">
        <v>46</v>
      </c>
      <c r="I599" s="269"/>
      <c r="J599" s="214">
        <v>35</v>
      </c>
      <c r="K599" s="162"/>
      <c r="L599" s="162"/>
      <c r="M599" s="162"/>
      <c r="N599" s="162"/>
      <c r="O599" s="162"/>
      <c r="P599" s="162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69"/>
      <c r="J600" s="214">
        <v>4</v>
      </c>
      <c r="K600" s="162"/>
      <c r="L600" s="162"/>
      <c r="M600" s="162"/>
      <c r="N600" s="162"/>
      <c r="O600" s="162"/>
      <c r="P600" s="162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256</v>
      </c>
      <c r="E601" s="625"/>
      <c r="F601" s="625"/>
      <c r="G601" s="761"/>
      <c r="H601" s="763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257</v>
      </c>
      <c r="D603" s="617"/>
      <c r="E603" s="617"/>
      <c r="F603" s="625"/>
      <c r="G603" s="761"/>
      <c r="H603" s="763" t="s">
        <v>46</v>
      </c>
      <c r="I603" s="269"/>
      <c r="J603" s="269">
        <f>J605+J607</f>
        <v>30</v>
      </c>
      <c r="K603" s="162"/>
      <c r="L603" s="162"/>
      <c r="M603" s="162"/>
      <c r="N603" s="162"/>
      <c r="O603" s="162"/>
      <c r="P603" s="162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69"/>
      <c r="J604" s="269">
        <f>J606+J608</f>
        <v>3</v>
      </c>
      <c r="K604" s="162"/>
      <c r="L604" s="162"/>
      <c r="M604" s="162"/>
      <c r="N604" s="162"/>
      <c r="O604" s="162"/>
      <c r="P604" s="162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258</v>
      </c>
      <c r="E605" s="625"/>
      <c r="F605" s="625"/>
      <c r="G605" s="761"/>
      <c r="H605" s="763" t="s">
        <v>46</v>
      </c>
      <c r="I605" s="269"/>
      <c r="J605" s="214">
        <v>30</v>
      </c>
      <c r="K605" s="162"/>
      <c r="L605" s="162"/>
      <c r="M605" s="162"/>
      <c r="N605" s="162"/>
      <c r="O605" s="162"/>
      <c r="P605" s="162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69"/>
      <c r="J606" s="214">
        <v>3</v>
      </c>
      <c r="K606" s="162"/>
      <c r="L606" s="162"/>
      <c r="M606" s="162"/>
      <c r="N606" s="162"/>
      <c r="O606" s="162"/>
      <c r="P606" s="162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259</v>
      </c>
      <c r="E607" s="617"/>
      <c r="F607" s="625"/>
      <c r="G607" s="761"/>
      <c r="H607" s="763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260</v>
      </c>
      <c r="D609" s="617"/>
      <c r="E609" s="617"/>
      <c r="F609" s="625"/>
      <c r="G609" s="761"/>
      <c r="H609" s="763" t="s">
        <v>46</v>
      </c>
      <c r="I609" s="269"/>
      <c r="J609" s="214">
        <v>97</v>
      </c>
      <c r="K609" s="162"/>
      <c r="L609" s="162"/>
      <c r="M609" s="162"/>
      <c r="N609" s="162"/>
      <c r="O609" s="162"/>
      <c r="P609" s="162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69"/>
      <c r="J610" s="214">
        <v>3</v>
      </c>
      <c r="K610" s="162"/>
      <c r="L610" s="162"/>
      <c r="M610" s="162"/>
      <c r="N610" s="162"/>
      <c r="O610" s="162"/>
      <c r="P610" s="162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261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262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>J614+J616</f>
        <v>0</v>
      </c>
      <c r="K612" s="716">
        <f>IF(I612&gt;0,J612*100/I612,0)</f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263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>J615+J617</f>
        <v>0</v>
      </c>
      <c r="K613" s="716">
        <f>IF(I613&gt;0,J613*100/I613,0)</f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264</v>
      </c>
      <c r="E614" s="615"/>
      <c r="F614" s="719"/>
      <c r="G614" s="365"/>
      <c r="H614" s="369" t="s">
        <v>46</v>
      </c>
      <c r="I614" s="616"/>
      <c r="J614" s="616">
        <v>0</v>
      </c>
      <c r="K614" s="166"/>
      <c r="L614" s="166"/>
      <c r="M614" s="166"/>
      <c r="N614" s="166"/>
      <c r="O614" s="166"/>
      <c r="P614" s="166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5"/>
      <c r="H615" s="369" t="s">
        <v>34</v>
      </c>
      <c r="I615" s="616"/>
      <c r="J615" s="616">
        <v>0</v>
      </c>
      <c r="K615" s="166"/>
      <c r="L615" s="166"/>
      <c r="M615" s="166"/>
      <c r="N615" s="166"/>
      <c r="O615" s="166"/>
      <c r="P615" s="166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264</v>
      </c>
      <c r="E616" s="719"/>
      <c r="F616" s="719"/>
      <c r="G616" s="365"/>
      <c r="H616" s="369" t="s">
        <v>46</v>
      </c>
      <c r="I616" s="616"/>
      <c r="J616" s="616">
        <v>0</v>
      </c>
      <c r="K616" s="166"/>
      <c r="L616" s="166"/>
      <c r="M616" s="166"/>
      <c r="N616" s="166"/>
      <c r="O616" s="166"/>
      <c r="P616" s="166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5"/>
      <c r="H617" s="369" t="s">
        <v>34</v>
      </c>
      <c r="I617" s="616"/>
      <c r="J617" s="616">
        <v>0</v>
      </c>
      <c r="K617" s="166"/>
      <c r="L617" s="166"/>
      <c r="M617" s="166"/>
      <c r="N617" s="166"/>
      <c r="O617" s="166"/>
      <c r="P617" s="166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265</v>
      </c>
      <c r="E618" s="719"/>
      <c r="F618" s="719"/>
      <c r="G618" s="365"/>
      <c r="H618" s="369" t="s">
        <v>46</v>
      </c>
      <c r="I618" s="616"/>
      <c r="J618" s="616">
        <v>0</v>
      </c>
      <c r="K618" s="166"/>
      <c r="L618" s="166"/>
      <c r="M618" s="166"/>
      <c r="N618" s="166"/>
      <c r="O618" s="166"/>
      <c r="P618" s="166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5"/>
      <c r="H619" s="369" t="s">
        <v>34</v>
      </c>
      <c r="I619" s="616"/>
      <c r="J619" s="616">
        <v>0</v>
      </c>
      <c r="K619" s="166"/>
      <c r="L619" s="166"/>
      <c r="M619" s="166"/>
      <c r="N619" s="166"/>
      <c r="O619" s="166"/>
      <c r="P619" s="166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266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IFERROR(__xludf.DUMMYFUNCTION("IMPORTRANGE(""https://docs.google.com/spreadsheets/d/1QqKyyYR6Q21VydFLVH3TRQUabQu_ym0Zz7PgGX0-kHA/edit?usp=sharing"",""แผน!HL88"")"),0)</f>
        <v>0</v>
      </c>
      <c r="J620" s="727">
        <f>J622+J624+J626</f>
        <v>0</v>
      </c>
      <c r="K620" s="728">
        <f ca="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267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IFERROR(__xludf.DUMMYFUNCTION("IMPORTRANGE(""https://docs.google.com/spreadsheets/d/1QqKyyYR6Q21VydFLVH3TRQUabQu_ym0Zz7PgGX0-kHA/edit?usp=sharing"",""แผน!HK88"")"),0)</f>
        <v>0</v>
      </c>
      <c r="J621" s="727">
        <f>J623+J625+J627</f>
        <v>0</v>
      </c>
      <c r="K621" s="728">
        <f ca="1">IF(I621&gt;0,J621*100/I621,0)</f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268</v>
      </c>
      <c r="E622" s="625"/>
      <c r="F622" s="625"/>
      <c r="G622" s="761"/>
      <c r="H622" s="763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264</v>
      </c>
      <c r="E624" s="625"/>
      <c r="F624" s="625"/>
      <c r="G624" s="761"/>
      <c r="H624" s="763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269</v>
      </c>
      <c r="E626" s="625"/>
      <c r="F626" s="625"/>
      <c r="G626" s="761"/>
      <c r="H626" s="763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2" t="s">
        <v>34</v>
      </c>
      <c r="I627" s="505"/>
      <c r="J627" s="424">
        <v>0</v>
      </c>
      <c r="K627" s="384"/>
      <c r="L627" s="384"/>
      <c r="M627" s="384"/>
      <c r="N627" s="384"/>
      <c r="O627" s="384"/>
      <c r="P627" s="384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270</v>
      </c>
      <c r="C628" s="737"/>
      <c r="D628" s="737"/>
      <c r="E628" s="737"/>
      <c r="F628" s="737"/>
      <c r="G628" s="738"/>
      <c r="H628" s="739" t="s">
        <v>35</v>
      </c>
      <c r="I628" s="740">
        <f ca="1">I651</f>
        <v>0</v>
      </c>
      <c r="J628" s="740">
        <f ca="1">J651</f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87" t="s">
        <v>17</v>
      </c>
      <c r="E629" s="888"/>
      <c r="F629" s="888"/>
      <c r="G629" s="188"/>
      <c r="H629" s="597" t="s">
        <v>12</v>
      </c>
      <c r="I629" s="269"/>
      <c r="J629" s="269"/>
      <c r="K629" s="497"/>
      <c r="L629" s="194">
        <f ca="1">L630+L631</f>
        <v>0</v>
      </c>
      <c r="M629" s="194">
        <f>M630+M631</f>
        <v>0</v>
      </c>
      <c r="N629" s="194">
        <f>N630+N631</f>
        <v>0</v>
      </c>
      <c r="O629" s="194">
        <f t="shared" ref="O629:O634" ca="1" si="90">IF(L629&gt;0,N629*100/L629,0)</f>
        <v>0</v>
      </c>
      <c r="P629" s="194">
        <f t="shared" ref="P629:P634" si="91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184</v>
      </c>
      <c r="F630" s="758"/>
      <c r="G630" s="602"/>
      <c r="H630" s="164" t="s">
        <v>12</v>
      </c>
      <c r="I630" s="616"/>
      <c r="J630" s="616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185</v>
      </c>
      <c r="F631" s="758"/>
      <c r="G631" s="602"/>
      <c r="H631" s="164" t="s">
        <v>12</v>
      </c>
      <c r="I631" s="616"/>
      <c r="J631" s="616"/>
      <c r="K631" s="92"/>
      <c r="L631" s="92">
        <f t="shared" ca="1" si="92"/>
        <v>0</v>
      </c>
      <c r="M631" s="92">
        <f t="shared" si="92"/>
        <v>0</v>
      </c>
      <c r="N631" s="92">
        <f t="shared" si="92"/>
        <v>0</v>
      </c>
      <c r="O631" s="92">
        <f t="shared" ca="1" si="90"/>
        <v>0</v>
      </c>
      <c r="P631" s="92">
        <f t="shared" si="91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8"/>
      <c r="H632" s="160" t="s">
        <v>12</v>
      </c>
      <c r="I632" s="183"/>
      <c r="J632" s="183"/>
      <c r="K632" s="162"/>
      <c r="L632" s="497">
        <f ca="1">L633+L634</f>
        <v>0</v>
      </c>
      <c r="M632" s="497">
        <f>M633+M634</f>
        <v>0</v>
      </c>
      <c r="N632" s="497">
        <f>N633+N634</f>
        <v>0</v>
      </c>
      <c r="O632" s="497">
        <f t="shared" ca="1" si="90"/>
        <v>0</v>
      </c>
      <c r="P632" s="497">
        <f t="shared" si="91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184</v>
      </c>
      <c r="F633" s="758"/>
      <c r="G633" s="602"/>
      <c r="H633" s="164" t="s">
        <v>12</v>
      </c>
      <c r="I633" s="616"/>
      <c r="J633" s="616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185</v>
      </c>
      <c r="F634" s="758"/>
      <c r="G634" s="602"/>
      <c r="H634" s="164" t="s">
        <v>12</v>
      </c>
      <c r="I634" s="616"/>
      <c r="J634" s="616"/>
      <c r="K634" s="92"/>
      <c r="L634" s="92">
        <f ca="1">IFERROR(__xludf.DUMMYFUNCTION("IMPORTRANGE(""https://docs.google.com/spreadsheets/d/1QqKyyYR6Q21VydFLVH3TRQUabQu_ym0Zz7PgGX0-kHA/edit?usp=sharing"",""แผน!HN88"")"),0)</f>
        <v>0</v>
      </c>
      <c r="M634" s="92">
        <v>0</v>
      </c>
      <c r="N634" s="92">
        <f>N635+N636+N637+N638</f>
        <v>0</v>
      </c>
      <c r="O634" s="92">
        <f t="shared" ca="1" si="90"/>
        <v>0</v>
      </c>
      <c r="P634" s="92">
        <f t="shared" si="91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826">
        <v>0</v>
      </c>
      <c r="O635" s="497"/>
      <c r="P635" s="497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826">
        <v>0</v>
      </c>
      <c r="O636" s="497"/>
      <c r="P636" s="497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826">
        <v>0</v>
      </c>
      <c r="O637" s="497"/>
      <c r="P637" s="497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826">
        <v>0</v>
      </c>
      <c r="O638" s="497"/>
      <c r="P638" s="497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IFERROR(__xludf.DUMMYFUNCTION("IMPORTRANGE(""https://docs.google.com/spreadsheets/d/1QqKyyYR6Q21VydFLVH3TRQUabQu_ym0Zz7PgGX0-kHA/edit?usp=sharing"",""แผน!HQ88"")"),0)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41" t="s">
        <v>38</v>
      </c>
      <c r="E642" s="760"/>
      <c r="F642" s="760"/>
      <c r="G642" s="612"/>
      <c r="H642" s="761"/>
      <c r="I642" s="183"/>
      <c r="J642" s="183"/>
      <c r="K642" s="162"/>
      <c r="L642" s="162"/>
      <c r="M642" s="162"/>
      <c r="N642" s="162"/>
      <c r="O642" s="162"/>
      <c r="P642" s="162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271</v>
      </c>
      <c r="F643" s="625"/>
      <c r="G643" s="761"/>
      <c r="H643" s="763" t="s">
        <v>272</v>
      </c>
      <c r="I643" s="269">
        <f ca="1">IFERROR(__xludf.DUMMYFUNCTION("IMPORTRANGE(""https://docs.google.com/spreadsheets/d/1QqKyyYR6Q21VydFLVH3TRQUabQu_ym0Zz7PgGX0-kHA/edit?usp=sharing"",""แผน!HR88"")"),0)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273</v>
      </c>
      <c r="F644" s="625"/>
      <c r="G644" s="761"/>
      <c r="H644" s="763" t="s">
        <v>274</v>
      </c>
      <c r="I644" s="269">
        <f ca="1">IFERROR(__xludf.DUMMYFUNCTION("IMPORTRANGE(""https://docs.google.com/spreadsheets/d/1QqKyyYR6Q21VydFLVH3TRQUabQu_ym0Zz7PgGX0-kHA/edit?usp=sharing"",""แผน!HR88"")"),0)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275</v>
      </c>
      <c r="F645" s="625"/>
      <c r="G645" s="761"/>
      <c r="H645" s="763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IFERROR(__xludf.DUMMYFUNCTION("IMPORTRANGE(""https://docs.google.com/spreadsheets/d/1XWAQStnk-4SwqDmLtmXYiTMKHgktTP8We1SCoS47DrQ/edit?usp=sharing"",""จัดที่ดิน!AS88"")"),0)</f>
        <v>0</v>
      </c>
      <c r="K645" s="162">
        <f t="shared" si="93"/>
        <v>0</v>
      </c>
      <c r="L645" s="162"/>
      <c r="M645" s="162"/>
      <c r="N645" s="497"/>
      <c r="O645" s="162"/>
      <c r="P645" s="162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IFERROR(__xludf.DUMMYFUNCTION("IMPORTRANGE(""https://docs.google.com/spreadsheets/d/1XWAQStnk-4SwqDmLtmXYiTMKHgktTP8We1SCoS47DrQ/edit?usp=sharing"",""จัดที่ดิน!AT88"")"),0)</f>
        <v>0</v>
      </c>
      <c r="K646" s="497">
        <f t="shared" si="93"/>
        <v>0</v>
      </c>
      <c r="L646" s="162"/>
      <c r="M646" s="162"/>
      <c r="N646" s="497"/>
      <c r="O646" s="162"/>
      <c r="P646" s="162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69">
        <f ca="1">IFERROR(__xludf.DUMMYFUNCTION("IMPORTRANGE(""https://docs.google.com/spreadsheets/d/1QqKyyYR6Q21VydFLVH3TRQUabQu_ym0Zz7PgGX0-kHA/edit?usp=sharing"",""แผน!HS88"")"),0)</f>
        <v>0</v>
      </c>
      <c r="J647" s="269">
        <f ca="1">IFERROR(__xludf.DUMMYFUNCTION("IMPORTRANGE(""https://docs.google.com/spreadsheets/d/1XWAQStnk-4SwqDmLtmXYiTMKHgktTP8We1SCoS47DrQ/edit?usp=sharing"",""จัดที่ดิน!AU88"")"),0)</f>
        <v>0</v>
      </c>
      <c r="K647" s="162">
        <f t="shared" ca="1" si="93"/>
        <v>0</v>
      </c>
      <c r="L647" s="162"/>
      <c r="M647" s="162"/>
      <c r="N647" s="162"/>
      <c r="O647" s="162"/>
      <c r="P647" s="162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IFERROR(__xludf.DUMMYFUNCTION("IMPORTRANGE(""https://docs.google.com/spreadsheets/d/1XWAQStnk-4SwqDmLtmXYiTMKHgktTP8We1SCoS47DrQ/edit?usp=sharing"",""จัดที่ดิน!AV88"")"),0)</f>
        <v>0</v>
      </c>
      <c r="K648" s="497">
        <f t="shared" si="93"/>
        <v>0</v>
      </c>
      <c r="L648" s="162"/>
      <c r="M648" s="162"/>
      <c r="N648" s="162"/>
      <c r="O648" s="162"/>
      <c r="P648" s="162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276</v>
      </c>
      <c r="F649" s="625"/>
      <c r="G649" s="761"/>
      <c r="H649" s="763" t="s">
        <v>35</v>
      </c>
      <c r="I649" s="269">
        <f ca="1">IFERROR(__xludf.DUMMYFUNCTION("IMPORTRANGE(""https://docs.google.com/spreadsheets/d/1QqKyyYR6Q21VydFLVH3TRQUabQu_ym0Zz7PgGX0-kHA/edit?usp=sharing"",""แผน!HS88"")"),0)</f>
        <v>0</v>
      </c>
      <c r="J649" s="269">
        <f ca="1">IFERROR(__xludf.DUMMYFUNCTION("IMPORTRANGE(""https://docs.google.com/spreadsheets/d/1XWAQStnk-4SwqDmLtmXYiTMKHgktTP8We1SCoS47DrQ/edit?usp=sharing"",""จัดที่ดิน!AW88"")"),0)</f>
        <v>0</v>
      </c>
      <c r="K649" s="162">
        <f t="shared" ca="1" si="93"/>
        <v>0</v>
      </c>
      <c r="L649" s="162"/>
      <c r="M649" s="162"/>
      <c r="N649" s="162"/>
      <c r="O649" s="162"/>
      <c r="P649" s="162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IFERROR(__xludf.DUMMYFUNCTION("IMPORTRANGE(""https://docs.google.com/spreadsheets/d/1XWAQStnk-4SwqDmLtmXYiTMKHgktTP8We1SCoS47DrQ/edit?usp=sharing"",""จัดที่ดิน!AX88"")"),0)</f>
        <v>0</v>
      </c>
      <c r="K650" s="497">
        <f t="shared" si="93"/>
        <v>0</v>
      </c>
      <c r="L650" s="162"/>
      <c r="M650" s="162"/>
      <c r="N650" s="162"/>
      <c r="O650" s="162"/>
      <c r="P650" s="162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277</v>
      </c>
      <c r="F651" s="625"/>
      <c r="G651" s="761"/>
      <c r="H651" s="763" t="s">
        <v>35</v>
      </c>
      <c r="I651" s="269">
        <f ca="1">IFERROR(__xludf.DUMMYFUNCTION("IMPORTRANGE(""https://docs.google.com/spreadsheets/d/1QqKyyYR6Q21VydFLVH3TRQUabQu_ym0Zz7PgGX0-kHA/edit?usp=sharing"",""แผน!HS88"")"),0)</f>
        <v>0</v>
      </c>
      <c r="J651" s="269">
        <f ca="1">IFERROR(__xludf.DUMMYFUNCTION("IMPORTRANGE(""https://docs.google.com/spreadsheets/d/1XWAQStnk-4SwqDmLtmXYiTMKHgktTP8We1SCoS47DrQ/edit?usp=sharing"",""จัดที่ดิน!AY88"")"),0)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827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IFERROR(__xludf.DUMMYFUNCTION("IMPORTRANGE(""https://docs.google.com/spreadsheets/d/1XWAQStnk-4SwqDmLtmXYiTMKHgktTP8We1SCoS47DrQ/edit?usp=sharing"",""จัดที่ดิน!AZ88"")"),0)</f>
        <v>0</v>
      </c>
      <c r="K652" s="506">
        <f t="shared" si="93"/>
        <v>0</v>
      </c>
      <c r="L652" s="384"/>
      <c r="M652" s="384"/>
      <c r="N652" s="384"/>
      <c r="O652" s="384"/>
      <c r="P652" s="384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278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279</v>
      </c>
      <c r="C654" s="672"/>
      <c r="D654" s="672"/>
      <c r="E654" s="672"/>
      <c r="F654" s="672"/>
      <c r="G654" s="673"/>
      <c r="H654" s="706" t="s">
        <v>46</v>
      </c>
      <c r="I654" s="707">
        <f ca="1">I669</f>
        <v>0</v>
      </c>
      <c r="J654" s="707">
        <f>J669</f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87" t="s">
        <v>17</v>
      </c>
      <c r="E655" s="888"/>
      <c r="F655" s="888"/>
      <c r="G655" s="188"/>
      <c r="H655" s="597" t="s">
        <v>12</v>
      </c>
      <c r="I655" s="269"/>
      <c r="J655" s="269"/>
      <c r="K655" s="497"/>
      <c r="L655" s="194">
        <f ca="1">L656+L657</f>
        <v>0</v>
      </c>
      <c r="M655" s="194">
        <f>M656+M657</f>
        <v>0</v>
      </c>
      <c r="N655" s="194">
        <f>N656+N657</f>
        <v>0</v>
      </c>
      <c r="O655" s="194">
        <f t="shared" ref="O655:O660" ca="1" si="94">IF(L655&gt;0,N655*100/L655,0)</f>
        <v>0</v>
      </c>
      <c r="P655" s="194">
        <f t="shared" ref="P655:P660" si="9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184</v>
      </c>
      <c r="F656" s="758"/>
      <c r="G656" s="602"/>
      <c r="H656" s="164" t="s">
        <v>12</v>
      </c>
      <c r="I656" s="616"/>
      <c r="J656" s="616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185</v>
      </c>
      <c r="F657" s="758"/>
      <c r="G657" s="602"/>
      <c r="H657" s="164" t="s">
        <v>12</v>
      </c>
      <c r="I657" s="616"/>
      <c r="J657" s="616"/>
      <c r="K657" s="92"/>
      <c r="L657" s="92">
        <f t="shared" ca="1" si="96"/>
        <v>0</v>
      </c>
      <c r="M657" s="92">
        <f t="shared" si="96"/>
        <v>0</v>
      </c>
      <c r="N657" s="92">
        <f t="shared" si="96"/>
        <v>0</v>
      </c>
      <c r="O657" s="92">
        <f t="shared" ca="1" si="94"/>
        <v>0</v>
      </c>
      <c r="P657" s="92">
        <f t="shared" si="9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8"/>
      <c r="H658" s="160" t="s">
        <v>12</v>
      </c>
      <c r="I658" s="183"/>
      <c r="J658" s="183"/>
      <c r="K658" s="162"/>
      <c r="L658" s="497">
        <f ca="1">L659+L660</f>
        <v>0</v>
      </c>
      <c r="M658" s="497">
        <f>M659+M660</f>
        <v>0</v>
      </c>
      <c r="N658" s="497">
        <f>N659+N660</f>
        <v>0</v>
      </c>
      <c r="O658" s="497">
        <f t="shared" ca="1" si="94"/>
        <v>0</v>
      </c>
      <c r="P658" s="497">
        <f t="shared" si="9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184</v>
      </c>
      <c r="F659" s="758"/>
      <c r="G659" s="602"/>
      <c r="H659" s="164" t="s">
        <v>12</v>
      </c>
      <c r="I659" s="616"/>
      <c r="J659" s="616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185</v>
      </c>
      <c r="F660" s="758"/>
      <c r="G660" s="602"/>
      <c r="H660" s="164" t="s">
        <v>12</v>
      </c>
      <c r="I660" s="616"/>
      <c r="J660" s="616"/>
      <c r="K660" s="92"/>
      <c r="L660" s="92">
        <f ca="1">IFERROR(__xludf.DUMMYFUNCTION("IMPORTRANGE(""https://docs.google.com/spreadsheets/d/1QqKyyYR6Q21VydFLVH3TRQUabQu_ym0Zz7PgGX0-kHA/edit?usp=sharing"",""แผน!HV88"")"),0)</f>
        <v>0</v>
      </c>
      <c r="M660" s="92">
        <v>0</v>
      </c>
      <c r="N660" s="92">
        <f>N661+N662+N663+N664</f>
        <v>0</v>
      </c>
      <c r="O660" s="92">
        <f t="shared" ca="1" si="94"/>
        <v>0</v>
      </c>
      <c r="P660" s="92">
        <f t="shared" si="9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826">
        <v>0</v>
      </c>
      <c r="O661" s="497"/>
      <c r="P661" s="497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826">
        <v>0</v>
      </c>
      <c r="O662" s="497"/>
      <c r="P662" s="497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826">
        <v>0</v>
      </c>
      <c r="O663" s="497"/>
      <c r="P663" s="497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826">
        <v>0</v>
      </c>
      <c r="O664" s="497"/>
      <c r="P664" s="497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40" t="s">
        <v>38</v>
      </c>
      <c r="E668" s="760"/>
      <c r="F668" s="760"/>
      <c r="G668" s="612"/>
      <c r="H668" s="761"/>
      <c r="I668" s="183"/>
      <c r="J668" s="183"/>
      <c r="K668" s="162"/>
      <c r="L668" s="162"/>
      <c r="M668" s="162"/>
      <c r="N668" s="162"/>
      <c r="O668" s="162"/>
      <c r="P668" s="162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280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IFERROR(__xludf.DUMMYFUNCTION("IMPORTRANGE(""https://docs.google.com/spreadsheets/d/1QqKyyYR6Q21VydFLVH3TRQUabQu_ym0Zz7PgGX0-kHA/edit?usp=sharing"",""แผน!IA88"")"),0)</f>
        <v>0</v>
      </c>
      <c r="J669" s="680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281</v>
      </c>
      <c r="F670" s="625"/>
      <c r="G670" s="761"/>
      <c r="H670" s="763" t="s">
        <v>66</v>
      </c>
      <c r="I670" s="269">
        <f ca="1">IFERROR(__xludf.DUMMYFUNCTION("IMPORTRANGE(""https://docs.google.com/spreadsheets/d/1QqKyyYR6Q21VydFLVH3TRQUabQu_ym0Zz7PgGX0-kHA/edit?usp=sharing"",""แผน!HZ88"")"),0)</f>
        <v>0</v>
      </c>
      <c r="J670" s="214">
        <v>0</v>
      </c>
      <c r="K670" s="497">
        <f ca="1">IF(I670&gt;0,(J670*100)/I670,0)</f>
        <v>0</v>
      </c>
      <c r="L670" s="162"/>
      <c r="M670" s="162"/>
      <c r="N670" s="162"/>
      <c r="O670" s="162"/>
      <c r="P670" s="162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282</v>
      </c>
      <c r="F671" s="625"/>
      <c r="G671" s="761"/>
      <c r="H671" s="763" t="s">
        <v>66</v>
      </c>
      <c r="I671" s="269">
        <f ca="1">IFERROR(__xludf.DUMMYFUNCTION("IMPORTRANGE(""https://docs.google.com/spreadsheets/d/1QqKyyYR6Q21VydFLVH3TRQUabQu_ym0Zz7PgGX0-kHA/edit?usp=sharing"",""แผน!HZ88"")"),0)</f>
        <v>0</v>
      </c>
      <c r="J671" s="214">
        <v>0</v>
      </c>
      <c r="K671" s="497">
        <f ca="1">IF(I$671&gt;0,J671*100/I$671,0)</f>
        <v>0</v>
      </c>
      <c r="L671" s="162"/>
      <c r="M671" s="162"/>
      <c r="N671" s="162"/>
      <c r="O671" s="162"/>
      <c r="P671" s="162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283</v>
      </c>
      <c r="F672" s="625"/>
      <c r="G672" s="761"/>
      <c r="H672" s="763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284</v>
      </c>
      <c r="F673" s="625"/>
      <c r="G673" s="761"/>
      <c r="H673" s="763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285</v>
      </c>
      <c r="F674" s="625"/>
      <c r="G674" s="761"/>
      <c r="H674" s="763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286</v>
      </c>
      <c r="F675" s="625"/>
      <c r="G675" s="761"/>
      <c r="H675" s="763" t="s">
        <v>46</v>
      </c>
      <c r="I675" s="269"/>
      <c r="J675" s="680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287</v>
      </c>
      <c r="G676" s="761"/>
      <c r="H676" s="763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288</v>
      </c>
      <c r="G677" s="761"/>
      <c r="H677" s="763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289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IFERROR(__xludf.DUMMYFUNCTION("IMPORTRANGE(""https://docs.google.com/spreadsheets/d/1QqKyyYR6Q21VydFLVH3TRQUabQu_ym0Zz7PgGX0-kHA/edit?usp=sharing"",""แผน!IB88"")"),0)</f>
        <v>0</v>
      </c>
      <c r="J678" s="680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290</v>
      </c>
      <c r="F679" s="625"/>
      <c r="G679" s="761"/>
      <c r="H679" s="763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287</v>
      </c>
      <c r="G680" s="761"/>
      <c r="H680" s="763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288</v>
      </c>
      <c r="G681" s="761"/>
      <c r="H681" s="763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291</v>
      </c>
      <c r="F682" s="625"/>
      <c r="G682" s="761"/>
      <c r="H682" s="763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292</v>
      </c>
      <c r="G683" s="761"/>
      <c r="H683" s="763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293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87" t="s">
        <v>17</v>
      </c>
      <c r="E685" s="888"/>
      <c r="F685" s="888"/>
      <c r="G685" s="188"/>
      <c r="H685" s="597" t="s">
        <v>12</v>
      </c>
      <c r="I685" s="269"/>
      <c r="J685" s="269"/>
      <c r="K685" s="497"/>
      <c r="L685" s="194">
        <f ca="1">L686+L687</f>
        <v>0</v>
      </c>
      <c r="M685" s="194">
        <f>M686+M687</f>
        <v>0</v>
      </c>
      <c r="N685" s="194">
        <f>N686+N687</f>
        <v>0</v>
      </c>
      <c r="O685" s="194">
        <f ca="1">IF(L685&gt;0,N685*100/L685,0)</f>
        <v>0</v>
      </c>
      <c r="P685" s="194">
        <f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184</v>
      </c>
      <c r="F686" s="758"/>
      <c r="G686" s="602"/>
      <c r="H686" s="164" t="s">
        <v>12</v>
      </c>
      <c r="I686" s="616"/>
      <c r="J686" s="616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185</v>
      </c>
      <c r="F687" s="758"/>
      <c r="G687" s="602"/>
      <c r="H687" s="164" t="s">
        <v>12</v>
      </c>
      <c r="I687" s="616"/>
      <c r="J687" s="616"/>
      <c r="K687" s="92"/>
      <c r="L687" s="92">
        <f t="shared" ca="1" si="97"/>
        <v>0</v>
      </c>
      <c r="M687" s="92">
        <f t="shared" si="97"/>
        <v>0</v>
      </c>
      <c r="N687" s="92">
        <f t="shared" si="97"/>
        <v>0</v>
      </c>
      <c r="O687" s="92">
        <f ca="1">IF(L687&gt;0,N687*100/L687,0)</f>
        <v>0</v>
      </c>
      <c r="P687" s="92">
        <f>IF(M687&gt;0,N687*100/M687,0)</f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8"/>
      <c r="H688" s="160" t="s">
        <v>12</v>
      </c>
      <c r="I688" s="183"/>
      <c r="J688" s="183"/>
      <c r="K688" s="162"/>
      <c r="L688" s="497">
        <f ca="1">L689+L690</f>
        <v>0</v>
      </c>
      <c r="M688" s="497">
        <f>M689+M690</f>
        <v>0</v>
      </c>
      <c r="N688" s="497">
        <f>N689+N690</f>
        <v>0</v>
      </c>
      <c r="O688" s="497">
        <f ca="1">IF(L688&gt;0,N688*100/L688,0)</f>
        <v>0</v>
      </c>
      <c r="P688" s="497">
        <f>IF(M688&gt;0,N688*100/M688,0)</f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184</v>
      </c>
      <c r="F689" s="758"/>
      <c r="G689" s="602"/>
      <c r="H689" s="164" t="s">
        <v>12</v>
      </c>
      <c r="I689" s="616"/>
      <c r="J689" s="616"/>
      <c r="K689" s="92"/>
      <c r="L689" s="92">
        <v>0</v>
      </c>
      <c r="M689" s="92">
        <v>0</v>
      </c>
      <c r="N689" s="92">
        <v>0</v>
      </c>
      <c r="O689" s="92"/>
      <c r="P689" s="92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185</v>
      </c>
      <c r="F690" s="758"/>
      <c r="G690" s="602"/>
      <c r="H690" s="164" t="s">
        <v>12</v>
      </c>
      <c r="I690" s="616"/>
      <c r="J690" s="616"/>
      <c r="K690" s="92"/>
      <c r="L690" s="92">
        <f ca="1">IFERROR(__xludf.DUMMYFUNCTION("IMPORTRANGE(""https://docs.google.com/spreadsheets/d/1QqKyyYR6Q21VydFLVH3TRQUabQu_ym0Zz7PgGX0-kHA/edit?usp=sharing"",""แผน!HW88"")"),0)</f>
        <v>0</v>
      </c>
      <c r="M690" s="92">
        <v>0</v>
      </c>
      <c r="N690" s="92">
        <f>N691+N692+N693+N694</f>
        <v>0</v>
      </c>
      <c r="O690" s="92">
        <f ca="1">IF(L690&gt;0,N690*100/L690,0)</f>
        <v>0</v>
      </c>
      <c r="P690" s="92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826">
        <v>0</v>
      </c>
      <c r="O691" s="497"/>
      <c r="P691" s="497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826">
        <v>0</v>
      </c>
      <c r="O692" s="497"/>
      <c r="P692" s="497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826">
        <v>0</v>
      </c>
      <c r="O693" s="497"/>
      <c r="P693" s="497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826">
        <v>0</v>
      </c>
      <c r="O694" s="497"/>
      <c r="P694" s="497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38" t="s">
        <v>38</v>
      </c>
      <c r="E698" s="760"/>
      <c r="F698" s="760"/>
      <c r="G698" s="612"/>
      <c r="H698" s="761"/>
      <c r="I698" s="183"/>
      <c r="J698" s="183"/>
      <c r="K698" s="162"/>
      <c r="L698" s="162"/>
      <c r="M698" s="162"/>
      <c r="N698" s="162"/>
      <c r="O698" s="162"/>
      <c r="P698" s="162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294</v>
      </c>
      <c r="E699" s="762"/>
      <c r="F699" s="762"/>
      <c r="G699" s="188"/>
      <c r="H699" s="763" t="s">
        <v>46</v>
      </c>
      <c r="I699" s="764">
        <f ca="1">IFERROR(__xludf.DUMMYFUNCTION("IMPORTRANGE(""https://docs.google.com/spreadsheets/d/1QqKyyYR6Q21VydFLVH3TRQUabQu_ym0Zz7PgGX0-kHA/edit?usp=sharing"",""แผน!IC88"")"),0)</f>
        <v>0</v>
      </c>
      <c r="J699" s="269">
        <f ca="1">IFERROR(__xludf.DUMMYFUNCTION("IMPORTRANGE(""https://docs.google.com/spreadsheets/d/1XWAQStnk-4SwqDmLtmXYiTMKHgktTP8We1SCoS47DrQ/edit?usp=sharing"",""จัดที่ดิน!BB88"")"),0)</f>
        <v>0</v>
      </c>
      <c r="K699" s="497">
        <f ca="1">IF(I699&gt;0,J699*100/I699,0)</f>
        <v>0</v>
      </c>
      <c r="L699" s="497"/>
      <c r="M699" s="188"/>
      <c r="N699" s="765"/>
      <c r="O699" s="497"/>
      <c r="P699" s="497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295</v>
      </c>
      <c r="E700" s="762"/>
      <c r="F700" s="762"/>
      <c r="G700" s="188"/>
      <c r="H700" s="763" t="s">
        <v>35</v>
      </c>
      <c r="I700" s="764">
        <f ca="1">IFERROR(__xludf.DUMMYFUNCTION("IMPORTRANGE(""https://docs.google.com/spreadsheets/d/1QqKyyYR6Q21VydFLVH3TRQUabQu_ym0Zz7PgGX0-kHA/edit?usp=sharing"",""แผน!ID88"")"),0)</f>
        <v>0</v>
      </c>
      <c r="J700" s="269">
        <f ca="1">IFERROR(__xludf.DUMMYFUNCTION("IMPORTRANGE(""https://docs.google.com/spreadsheets/d/1XWAQStnk-4SwqDmLtmXYiTMKHgktTP8We1SCoS47DrQ/edit?usp=sharing"",""จัดที่ดิน!BD88"")"),0)</f>
        <v>0</v>
      </c>
      <c r="K700" s="497">
        <f ca="1">IF(I700&gt;0,J700*100/I700,0)</f>
        <v>0</v>
      </c>
      <c r="L700" s="497"/>
      <c r="M700" s="188"/>
      <c r="N700" s="765"/>
      <c r="O700" s="497"/>
      <c r="P700" s="497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296</v>
      </c>
      <c r="E701" s="762"/>
      <c r="F701" s="762"/>
      <c r="G701" s="188"/>
      <c r="H701" s="766" t="s">
        <v>46</v>
      </c>
      <c r="I701" s="767">
        <f ca="1">IFERROR(__xludf.DUMMYFUNCTION("IMPORTRANGE(""https://docs.google.com/spreadsheets/d/1QqKyyYR6Q21VydFLVH3TRQUabQu_ym0Zz7PgGX0-kHA/edit?usp=sharing"",""แผน!IE88"")"),0)</f>
        <v>0</v>
      </c>
      <c r="J701" s="680">
        <f>J704+J707</f>
        <v>0</v>
      </c>
      <c r="K701" s="194">
        <f ca="1">IF(I701&gt;0,J701*100/I701,0)</f>
        <v>0</v>
      </c>
      <c r="L701" s="497"/>
      <c r="M701" s="188"/>
      <c r="N701" s="765"/>
      <c r="O701" s="497"/>
      <c r="P701" s="497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297</v>
      </c>
      <c r="F702" s="762"/>
      <c r="G702" s="188"/>
      <c r="H702" s="763" t="s">
        <v>35</v>
      </c>
      <c r="I702" s="764"/>
      <c r="J702" s="214">
        <v>0</v>
      </c>
      <c r="K702" s="497"/>
      <c r="L702" s="497"/>
      <c r="M702" s="188"/>
      <c r="N702" s="765"/>
      <c r="O702" s="497"/>
      <c r="P702" s="497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8"/>
      <c r="H703" s="763" t="s">
        <v>34</v>
      </c>
      <c r="I703" s="764"/>
      <c r="J703" s="214">
        <v>0</v>
      </c>
      <c r="K703" s="497"/>
      <c r="L703" s="497"/>
      <c r="M703" s="188"/>
      <c r="N703" s="765"/>
      <c r="O703" s="497"/>
      <c r="P703" s="497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8"/>
      <c r="H704" s="763" t="s">
        <v>46</v>
      </c>
      <c r="I704" s="764">
        <f ca="1">IFERROR(__xludf.DUMMYFUNCTION("IMPORTRANGE(""https://docs.google.com/spreadsheets/d/1QqKyyYR6Q21VydFLVH3TRQUabQu_ym0Zz7PgGX0-kHA/edit?usp=sharing"",""แผน!IF88"")"),0)</f>
        <v>0</v>
      </c>
      <c r="J704" s="214">
        <v>0</v>
      </c>
      <c r="K704" s="497"/>
      <c r="L704" s="497"/>
      <c r="M704" s="188"/>
      <c r="N704" s="765"/>
      <c r="O704" s="497"/>
      <c r="P704" s="497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298</v>
      </c>
      <c r="F705" s="762"/>
      <c r="G705" s="188"/>
      <c r="H705" s="763" t="s">
        <v>35</v>
      </c>
      <c r="I705" s="764"/>
      <c r="J705" s="214">
        <v>0</v>
      </c>
      <c r="K705" s="497"/>
      <c r="L705" s="497"/>
      <c r="M705" s="188"/>
      <c r="N705" s="765"/>
      <c r="O705" s="497"/>
      <c r="P705" s="497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8"/>
      <c r="H706" s="763" t="s">
        <v>34</v>
      </c>
      <c r="I706" s="764"/>
      <c r="J706" s="214">
        <v>0</v>
      </c>
      <c r="K706" s="497"/>
      <c r="L706" s="497"/>
      <c r="M706" s="188"/>
      <c r="N706" s="765"/>
      <c r="O706" s="497"/>
      <c r="P706" s="497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8"/>
      <c r="H707" s="763" t="s">
        <v>46</v>
      </c>
      <c r="I707" s="764">
        <f ca="1">IFERROR(__xludf.DUMMYFUNCTION("IMPORTRANGE(""https://docs.google.com/spreadsheets/d/1QqKyyYR6Q21VydFLVH3TRQUabQu_ym0Zz7PgGX0-kHA/edit?usp=sharing"",""แผน!IG88"")"),0)</f>
        <v>0</v>
      </c>
      <c r="J707" s="214">
        <v>0</v>
      </c>
      <c r="K707" s="497"/>
      <c r="L707" s="497"/>
      <c r="M707" s="188"/>
      <c r="N707" s="765"/>
      <c r="O707" s="497"/>
      <c r="P707" s="497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299</v>
      </c>
      <c r="E708" s="762"/>
      <c r="F708" s="762"/>
      <c r="G708" s="188"/>
      <c r="H708" s="766" t="s">
        <v>46</v>
      </c>
      <c r="I708" s="767">
        <f ca="1">IFERROR(__xludf.DUMMYFUNCTION("IMPORTRANGE(""https://docs.google.com/spreadsheets/d/1QqKyyYR6Q21VydFLVH3TRQUabQu_ym0Zz7PgGX0-kHA/edit?usp=sharing"",""แผน!IH88"")"),0)</f>
        <v>0</v>
      </c>
      <c r="J708" s="680">
        <f>J714+J717</f>
        <v>0</v>
      </c>
      <c r="K708" s="194">
        <f ca="1">IF(I708&gt;0,J708*100/I708,0)</f>
        <v>0</v>
      </c>
      <c r="L708" s="497"/>
      <c r="M708" s="188"/>
      <c r="N708" s="765"/>
      <c r="O708" s="497"/>
      <c r="P708" s="497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300</v>
      </c>
      <c r="F709" s="762"/>
      <c r="G709" s="188"/>
      <c r="H709" s="763" t="s">
        <v>34</v>
      </c>
      <c r="I709" s="764"/>
      <c r="J709" s="214">
        <v>0</v>
      </c>
      <c r="K709" s="497"/>
      <c r="L709" s="765"/>
      <c r="M709" s="188"/>
      <c r="N709" s="765"/>
      <c r="O709" s="497"/>
      <c r="P709" s="497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8"/>
      <c r="H710" s="763" t="s">
        <v>46</v>
      </c>
      <c r="I710" s="764"/>
      <c r="J710" s="214">
        <v>0</v>
      </c>
      <c r="K710" s="497"/>
      <c r="L710" s="765"/>
      <c r="M710" s="188"/>
      <c r="N710" s="765"/>
      <c r="O710" s="497"/>
      <c r="P710" s="497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301</v>
      </c>
      <c r="F711" s="762"/>
      <c r="G711" s="188"/>
      <c r="H711" s="761"/>
      <c r="I711" s="764"/>
      <c r="J711" s="269"/>
      <c r="K711" s="497"/>
      <c r="L711" s="765"/>
      <c r="M711" s="188"/>
      <c r="N711" s="765"/>
      <c r="O711" s="497"/>
      <c r="P711" s="497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302</v>
      </c>
      <c r="G712" s="188"/>
      <c r="H712" s="763" t="s">
        <v>35</v>
      </c>
      <c r="I712" s="764"/>
      <c r="J712" s="214">
        <v>0</v>
      </c>
      <c r="K712" s="497"/>
      <c r="L712" s="765"/>
      <c r="M712" s="188"/>
      <c r="N712" s="765"/>
      <c r="O712" s="497"/>
      <c r="P712" s="497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8"/>
      <c r="H713" s="763" t="s">
        <v>34</v>
      </c>
      <c r="I713" s="764"/>
      <c r="J713" s="214">
        <v>0</v>
      </c>
      <c r="K713" s="497"/>
      <c r="L713" s="765"/>
      <c r="M713" s="188"/>
      <c r="N713" s="765"/>
      <c r="O713" s="497"/>
      <c r="P713" s="497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8"/>
      <c r="H714" s="763" t="s">
        <v>46</v>
      </c>
      <c r="I714" s="764"/>
      <c r="J714" s="214">
        <v>0</v>
      </c>
      <c r="K714" s="497"/>
      <c r="L714" s="765"/>
      <c r="M714" s="188"/>
      <c r="N714" s="765"/>
      <c r="O714" s="497"/>
      <c r="P714" s="497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303</v>
      </c>
      <c r="G715" s="188"/>
      <c r="H715" s="763" t="s">
        <v>35</v>
      </c>
      <c r="I715" s="764"/>
      <c r="J715" s="214">
        <v>0</v>
      </c>
      <c r="K715" s="497"/>
      <c r="L715" s="765"/>
      <c r="M715" s="188"/>
      <c r="N715" s="765"/>
      <c r="O715" s="497"/>
      <c r="P715" s="497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8"/>
      <c r="H716" s="763" t="s">
        <v>34</v>
      </c>
      <c r="I716" s="764"/>
      <c r="J716" s="214">
        <v>0</v>
      </c>
      <c r="K716" s="497"/>
      <c r="L716" s="765"/>
      <c r="M716" s="188"/>
      <c r="N716" s="765"/>
      <c r="O716" s="497"/>
      <c r="P716" s="497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8"/>
      <c r="H717" s="763" t="s">
        <v>46</v>
      </c>
      <c r="I717" s="764"/>
      <c r="J717" s="214">
        <v>0</v>
      </c>
      <c r="K717" s="497"/>
      <c r="L717" s="765"/>
      <c r="M717" s="188"/>
      <c r="N717" s="765"/>
      <c r="O717" s="497"/>
      <c r="P717" s="497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304</v>
      </c>
      <c r="E718" s="762"/>
      <c r="F718" s="762"/>
      <c r="G718" s="188"/>
      <c r="H718" s="763" t="s">
        <v>35</v>
      </c>
      <c r="I718" s="764"/>
      <c r="J718" s="269">
        <f ca="1">IFERROR(__xludf.DUMMYFUNCTION("IMPORTRANGE(""https://docs.google.com/spreadsheets/d/1XWAQStnk-4SwqDmLtmXYiTMKHgktTP8We1SCoS47DrQ/edit?usp=sharing"",""จัดที่ดิน!BF88"")"),0)</f>
        <v>0</v>
      </c>
      <c r="K718" s="497"/>
      <c r="L718" s="497"/>
      <c r="M718" s="188"/>
      <c r="N718" s="765"/>
      <c r="O718" s="497"/>
      <c r="P718" s="497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8"/>
      <c r="H719" s="763" t="s">
        <v>34</v>
      </c>
      <c r="I719" s="764"/>
      <c r="J719" s="269">
        <f ca="1">IFERROR(__xludf.DUMMYFUNCTION("IMPORTRANGE(""https://docs.google.com/spreadsheets/d/1XWAQStnk-4SwqDmLtmXYiTMKHgktTP8We1SCoS47DrQ/edit?usp=sharing"",""จัดที่ดิน!BG88"")"),0)</f>
        <v>0</v>
      </c>
      <c r="K719" s="497"/>
      <c r="L719" s="765"/>
      <c r="M719" s="188"/>
      <c r="N719" s="765"/>
      <c r="O719" s="497"/>
      <c r="P719" s="497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8"/>
      <c r="H720" s="763" t="s">
        <v>46</v>
      </c>
      <c r="I720" s="764">
        <f ca="1">IFERROR(__xludf.DUMMYFUNCTION("IMPORTRANGE(""https://docs.google.com/spreadsheets/d/1QqKyyYR6Q21VydFLVH3TRQUabQu_ym0Zz7PgGX0-kHA/edit?usp=sharing"",""แผน!II88"")"),0)</f>
        <v>0</v>
      </c>
      <c r="J720" s="269">
        <f ca="1">IFERROR(__xludf.DUMMYFUNCTION("IMPORTRANGE(""https://docs.google.com/spreadsheets/d/1XWAQStnk-4SwqDmLtmXYiTMKHgktTP8We1SCoS47DrQ/edit?usp=sharing"",""จัดที่ดิน!BH88"")"),0)</f>
        <v>0</v>
      </c>
      <c r="K720" s="497">
        <f ca="1">IF(I720&gt;0,J720*100/I720,0)</f>
        <v>0</v>
      </c>
      <c r="L720" s="765"/>
      <c r="M720" s="188"/>
      <c r="N720" s="765"/>
      <c r="O720" s="497"/>
      <c r="P720" s="497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305</v>
      </c>
      <c r="E721" s="762"/>
      <c r="F721" s="762"/>
      <c r="G721" s="188"/>
      <c r="H721" s="766" t="s">
        <v>35</v>
      </c>
      <c r="I721" s="767">
        <f ca="1">IFERROR(__xludf.DUMMYFUNCTION("IMPORTRANGE(""https://docs.google.com/spreadsheets/d/1QqKyyYR6Q21VydFLVH3TRQUabQu_ym0Zz7PgGX0-kHA/edit?usp=sharing"",""แผน!IJ88"")"),0)</f>
        <v>0</v>
      </c>
      <c r="J721" s="680">
        <f ca="1">J723+J726</f>
        <v>0</v>
      </c>
      <c r="K721" s="194">
        <f ca="1">IF(I721&gt;0,J721*100/I721,0)</f>
        <v>0</v>
      </c>
      <c r="L721" s="765"/>
      <c r="M721" s="188"/>
      <c r="N721" s="765"/>
      <c r="O721" s="497"/>
      <c r="P721" s="497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8"/>
      <c r="H722" s="766" t="s">
        <v>46</v>
      </c>
      <c r="I722" s="767">
        <f ca="1">IFERROR(__xludf.DUMMYFUNCTION("IMPORTRANGE(""https://docs.google.com/spreadsheets/d/1QqKyyYR6Q21VydFLVH3TRQUabQu_ym0Zz7PgGX0-kHA/edit?usp=sharing"",""แผน!IK88"")"),0)</f>
        <v>0</v>
      </c>
      <c r="J722" s="680">
        <f ca="1">J725+J728</f>
        <v>0</v>
      </c>
      <c r="K722" s="194">
        <f ca="1">IF(I722&gt;0,J722*100/I722,0)</f>
        <v>0</v>
      </c>
      <c r="L722" s="497"/>
      <c r="M722" s="188"/>
      <c r="N722" s="765"/>
      <c r="O722" s="497"/>
      <c r="P722" s="497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306</v>
      </c>
      <c r="F723" s="762"/>
      <c r="G723" s="188"/>
      <c r="H723" s="763" t="s">
        <v>35</v>
      </c>
      <c r="I723" s="764">
        <f ca="1">IFERROR(__xludf.DUMMYFUNCTION("IMPORTRANGE(""https://docs.google.com/spreadsheets/d/1QqKyyYR6Q21VydFLVH3TRQUabQu_ym0Zz7PgGX0-kHA/edit?usp=sharing"",""แผน!IL88"")"),0)</f>
        <v>0</v>
      </c>
      <c r="J723" s="269">
        <f ca="1">IFERROR(__xludf.DUMMYFUNCTION("IMPORTRANGE(""https://docs.google.com/spreadsheets/d/1XWAQStnk-4SwqDmLtmXYiTMKHgktTP8We1SCoS47DrQ/edit?usp=sharing"",""จัดที่ดิน!BM88"")"),0)</f>
        <v>0</v>
      </c>
      <c r="K723" s="497">
        <f ca="1">IF(I723&gt;0,J723*100/I723,0)</f>
        <v>0</v>
      </c>
      <c r="L723" s="497"/>
      <c r="M723" s="188"/>
      <c r="N723" s="765"/>
      <c r="O723" s="497"/>
      <c r="P723" s="497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8"/>
      <c r="H724" s="763" t="s">
        <v>34</v>
      </c>
      <c r="I724" s="764"/>
      <c r="J724" s="269">
        <f ca="1">IFERROR(__xludf.DUMMYFUNCTION("IMPORTRANGE(""https://docs.google.com/spreadsheets/d/1XWAQStnk-4SwqDmLtmXYiTMKHgktTP8We1SCoS47DrQ/edit?usp=sharing"",""จัดที่ดิน!BN88"")"),0)</f>
        <v>0</v>
      </c>
      <c r="K724" s="497"/>
      <c r="L724" s="765"/>
      <c r="M724" s="188"/>
      <c r="N724" s="765"/>
      <c r="O724" s="497"/>
      <c r="P724" s="497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8"/>
      <c r="H725" s="763" t="s">
        <v>46</v>
      </c>
      <c r="I725" s="764">
        <f ca="1">IFERROR(__xludf.DUMMYFUNCTION("IMPORTRANGE(""https://docs.google.com/spreadsheets/d/1QqKyyYR6Q21VydFLVH3TRQUabQu_ym0Zz7PgGX0-kHA/edit?usp=sharing"",""แผน!IM88"")"),0)</f>
        <v>0</v>
      </c>
      <c r="J725" s="269">
        <f ca="1">IFERROR(__xludf.DUMMYFUNCTION("IMPORTRANGE(""https://docs.google.com/spreadsheets/d/1XWAQStnk-4SwqDmLtmXYiTMKHgktTP8We1SCoS47DrQ/edit?usp=sharing"",""จัดที่ดิน!BO88"")"),0)</f>
        <v>0</v>
      </c>
      <c r="K725" s="497">
        <f ca="1">IF(I725&gt;0,J725*100/I725,0)</f>
        <v>0</v>
      </c>
      <c r="L725" s="765"/>
      <c r="M725" s="188"/>
      <c r="N725" s="765"/>
      <c r="O725" s="497"/>
      <c r="P725" s="497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307</v>
      </c>
      <c r="F726" s="762"/>
      <c r="G726" s="188"/>
      <c r="H726" s="763" t="s">
        <v>35</v>
      </c>
      <c r="I726" s="764">
        <f ca="1">IFERROR(__xludf.DUMMYFUNCTION("IMPORTRANGE(""https://docs.google.com/spreadsheets/d/1QqKyyYR6Q21VydFLVH3TRQUabQu_ym0Zz7PgGX0-kHA/edit?usp=sharing"",""แผน!IN88"")"),0)</f>
        <v>0</v>
      </c>
      <c r="J726" s="269">
        <f ca="1">IFERROR(__xludf.DUMMYFUNCTION("IMPORTRANGE(""https://docs.google.com/spreadsheets/d/1XWAQStnk-4SwqDmLtmXYiTMKHgktTP8We1SCoS47DrQ/edit?usp=sharing"",""จัดที่ดิน!BR88"")"),0)</f>
        <v>0</v>
      </c>
      <c r="K726" s="497">
        <f ca="1">IF(I726&gt;0,J726*100/I726,0)</f>
        <v>0</v>
      </c>
      <c r="L726" s="497"/>
      <c r="M726" s="188"/>
      <c r="N726" s="765"/>
      <c r="O726" s="497"/>
      <c r="P726" s="497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8"/>
      <c r="H727" s="763" t="s">
        <v>34</v>
      </c>
      <c r="I727" s="764"/>
      <c r="J727" s="269">
        <f ca="1">IFERROR(__xludf.DUMMYFUNCTION("IMPORTRANGE(""https://docs.google.com/spreadsheets/d/1XWAQStnk-4SwqDmLtmXYiTMKHgktTP8We1SCoS47DrQ/edit?usp=sharing"",""จัดที่ดิน!BS88"")"),0)</f>
        <v>0</v>
      </c>
      <c r="K727" s="497"/>
      <c r="L727" s="765"/>
      <c r="M727" s="188"/>
      <c r="N727" s="765"/>
      <c r="O727" s="497"/>
      <c r="P727" s="497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8"/>
      <c r="H728" s="763" t="s">
        <v>46</v>
      </c>
      <c r="I728" s="764">
        <f ca="1">IFERROR(__xludf.DUMMYFUNCTION("IMPORTRANGE(""https://docs.google.com/spreadsheets/d/1QqKyyYR6Q21VydFLVH3TRQUabQu_ym0Zz7PgGX0-kHA/edit?usp=sharing"",""แผน!IO88"")"),0)</f>
        <v>0</v>
      </c>
      <c r="J728" s="269">
        <f ca="1">IFERROR(__xludf.DUMMYFUNCTION("IMPORTRANGE(""https://docs.google.com/spreadsheets/d/1XWAQStnk-4SwqDmLtmXYiTMKHgktTP8We1SCoS47DrQ/edit?usp=sharing"",""จัดที่ดิน!BT88"")"),0)</f>
        <v>0</v>
      </c>
      <c r="K728" s="497">
        <f ca="1">IF(I728&gt;0,J728*100/I728,0)</f>
        <v>0</v>
      </c>
      <c r="L728" s="765"/>
      <c r="M728" s="188"/>
      <c r="N728" s="765"/>
      <c r="O728" s="497"/>
      <c r="P728" s="497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308</v>
      </c>
      <c r="E729" s="762"/>
      <c r="F729" s="762"/>
      <c r="G729" s="188"/>
      <c r="H729" s="766" t="s">
        <v>46</v>
      </c>
      <c r="I729" s="767">
        <f ca="1">IFERROR(__xludf.DUMMYFUNCTION("IMPORTRANGE(""https://docs.google.com/spreadsheets/d/1QqKyyYR6Q21VydFLVH3TRQUabQu_ym0Zz7PgGX0-kHA/edit?usp=sharing"",""แผน!IP88"")"),0)</f>
        <v>0</v>
      </c>
      <c r="J729" s="680">
        <f>J732+J735</f>
        <v>0</v>
      </c>
      <c r="K729" s="194">
        <f ca="1">IF(I729&gt;0,J729*100/I729,0)</f>
        <v>0</v>
      </c>
      <c r="L729" s="497"/>
      <c r="M729" s="188"/>
      <c r="N729" s="765"/>
      <c r="O729" s="497"/>
      <c r="P729" s="497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309</v>
      </c>
      <c r="F730" s="762"/>
      <c r="G730" s="188"/>
      <c r="H730" s="763" t="s">
        <v>35</v>
      </c>
      <c r="I730" s="764"/>
      <c r="J730" s="214">
        <v>0</v>
      </c>
      <c r="K730" s="497"/>
      <c r="L730" s="765"/>
      <c r="M730" s="497"/>
      <c r="N730" s="765"/>
      <c r="O730" s="497"/>
      <c r="P730" s="497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8"/>
      <c r="H731" s="763" t="s">
        <v>34</v>
      </c>
      <c r="I731" s="764"/>
      <c r="J731" s="214">
        <v>0</v>
      </c>
      <c r="K731" s="497"/>
      <c r="L731" s="765"/>
      <c r="M731" s="497"/>
      <c r="N731" s="765"/>
      <c r="O731" s="497"/>
      <c r="P731" s="497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8"/>
      <c r="H732" s="763" t="s">
        <v>46</v>
      </c>
      <c r="I732" s="764"/>
      <c r="J732" s="214">
        <v>0</v>
      </c>
      <c r="K732" s="497"/>
      <c r="L732" s="765"/>
      <c r="M732" s="497"/>
      <c r="N732" s="765"/>
      <c r="O732" s="497"/>
      <c r="P732" s="497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310</v>
      </c>
      <c r="F733" s="762"/>
      <c r="G733" s="188"/>
      <c r="H733" s="763" t="s">
        <v>35</v>
      </c>
      <c r="I733" s="764"/>
      <c r="J733" s="214">
        <v>0</v>
      </c>
      <c r="K733" s="497"/>
      <c r="L733" s="765"/>
      <c r="M733" s="497"/>
      <c r="N733" s="765"/>
      <c r="O733" s="497"/>
      <c r="P733" s="497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8"/>
      <c r="H734" s="763" t="s">
        <v>34</v>
      </c>
      <c r="I734" s="764"/>
      <c r="J734" s="214">
        <v>0</v>
      </c>
      <c r="K734" s="497"/>
      <c r="L734" s="765"/>
      <c r="M734" s="497"/>
      <c r="N734" s="765"/>
      <c r="O734" s="497"/>
      <c r="P734" s="497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311</v>
      </c>
      <c r="C735" s="733"/>
      <c r="D735" s="733"/>
      <c r="E735" s="733"/>
      <c r="F735" s="733"/>
      <c r="G735" s="734"/>
      <c r="H735" s="422" t="s">
        <v>46</v>
      </c>
      <c r="I735" s="771"/>
      <c r="J735" s="424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312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92" t="s">
        <v>17</v>
      </c>
      <c r="E737" s="888"/>
      <c r="F737" s="888"/>
      <c r="G737" s="602"/>
      <c r="H737" s="645" t="s">
        <v>12</v>
      </c>
      <c r="I737" s="616"/>
      <c r="J737" s="616"/>
      <c r="K737" s="92"/>
      <c r="L737" s="646">
        <f>L738+L739</f>
        <v>0</v>
      </c>
      <c r="M737" s="646">
        <f>M738+M739</f>
        <v>0</v>
      </c>
      <c r="N737" s="646">
        <f>N738+N739</f>
        <v>0</v>
      </c>
      <c r="O737" s="646">
        <f t="shared" ref="O737:O742" si="98">IF(L737&gt;0,N737*100/L737,0)</f>
        <v>0</v>
      </c>
      <c r="P737" s="646">
        <f t="shared" ref="P737:P742" si="99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184</v>
      </c>
      <c r="F738" s="758"/>
      <c r="G738" s="602"/>
      <c r="H738" s="164" t="s">
        <v>12</v>
      </c>
      <c r="I738" s="616"/>
      <c r="J738" s="616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185</v>
      </c>
      <c r="F739" s="758"/>
      <c r="G739" s="602"/>
      <c r="H739" s="164" t="s">
        <v>12</v>
      </c>
      <c r="I739" s="616"/>
      <c r="J739" s="616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5"/>
      <c r="J740" s="165"/>
      <c r="K740" s="166"/>
      <c r="L740" s="646">
        <f>L741+L742</f>
        <v>0</v>
      </c>
      <c r="M740" s="646">
        <f>M741+M742</f>
        <v>0</v>
      </c>
      <c r="N740" s="646">
        <f>N741+N742</f>
        <v>0</v>
      </c>
      <c r="O740" s="646">
        <f t="shared" si="98"/>
        <v>0</v>
      </c>
      <c r="P740" s="646">
        <f t="shared" si="99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184</v>
      </c>
      <c r="F741" s="758"/>
      <c r="G741" s="602"/>
      <c r="H741" s="164" t="s">
        <v>12</v>
      </c>
      <c r="I741" s="616"/>
      <c r="J741" s="616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185</v>
      </c>
      <c r="F742" s="758"/>
      <c r="G742" s="602"/>
      <c r="H742" s="164" t="s">
        <v>12</v>
      </c>
      <c r="I742" s="616"/>
      <c r="J742" s="616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186</v>
      </c>
      <c r="G743" s="602"/>
      <c r="H743" s="164" t="s">
        <v>12</v>
      </c>
      <c r="I743" s="616"/>
      <c r="J743" s="616"/>
      <c r="K743" s="92"/>
      <c r="L743" s="92"/>
      <c r="M743" s="92"/>
      <c r="N743" s="92"/>
      <c r="O743" s="92"/>
      <c r="P743" s="92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187</v>
      </c>
      <c r="G744" s="602"/>
      <c r="H744" s="164" t="s">
        <v>12</v>
      </c>
      <c r="I744" s="616"/>
      <c r="J744" s="616"/>
      <c r="K744" s="92"/>
      <c r="L744" s="92"/>
      <c r="M744" s="92"/>
      <c r="N744" s="92"/>
      <c r="O744" s="92"/>
      <c r="P744" s="92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188</v>
      </c>
      <c r="G745" s="602"/>
      <c r="H745" s="164" t="s">
        <v>12</v>
      </c>
      <c r="I745" s="616"/>
      <c r="J745" s="616"/>
      <c r="K745" s="92"/>
      <c r="L745" s="92"/>
      <c r="M745" s="92"/>
      <c r="N745" s="92"/>
      <c r="O745" s="92"/>
      <c r="P745" s="92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189</v>
      </c>
      <c r="G746" s="602"/>
      <c r="H746" s="164" t="s">
        <v>12</v>
      </c>
      <c r="I746" s="616"/>
      <c r="J746" s="616"/>
      <c r="K746" s="92"/>
      <c r="L746" s="92"/>
      <c r="M746" s="92"/>
      <c r="N746" s="92"/>
      <c r="O746" s="92"/>
      <c r="P746" s="92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5"/>
      <c r="J747" s="165"/>
      <c r="K747" s="166"/>
      <c r="L747" s="646">
        <f>L748+L749</f>
        <v>0</v>
      </c>
      <c r="M747" s="646">
        <f>M748+M749</f>
        <v>0</v>
      </c>
      <c r="N747" s="646">
        <f>N748+N749</f>
        <v>0</v>
      </c>
      <c r="O747" s="646">
        <f>IF(L747&gt;0,N747*100/L747,0)</f>
        <v>0</v>
      </c>
      <c r="P747" s="646">
        <f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39" t="s">
        <v>38</v>
      </c>
      <c r="E750" s="650"/>
      <c r="F750" s="650"/>
      <c r="G750" s="651"/>
      <c r="H750" s="365"/>
      <c r="I750" s="165"/>
      <c r="J750" s="165"/>
      <c r="K750" s="166"/>
      <c r="L750" s="166"/>
      <c r="M750" s="166"/>
      <c r="N750" s="166"/>
      <c r="O750" s="166"/>
      <c r="P750" s="166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313</v>
      </c>
      <c r="F751" s="758"/>
      <c r="G751" s="602"/>
      <c r="H751" s="164" t="s">
        <v>46</v>
      </c>
      <c r="I751" s="616"/>
      <c r="J751" s="616"/>
      <c r="K751" s="92"/>
      <c r="L751" s="92"/>
      <c r="M751" s="92"/>
      <c r="N751" s="92"/>
      <c r="O751" s="92"/>
      <c r="P751" s="92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4" t="s">
        <v>314</v>
      </c>
      <c r="I752" s="616"/>
      <c r="J752" s="616"/>
      <c r="K752" s="92"/>
      <c r="L752" s="92"/>
      <c r="M752" s="92"/>
      <c r="N752" s="92"/>
      <c r="O752" s="92"/>
      <c r="P752" s="92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315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92" t="s">
        <v>17</v>
      </c>
      <c r="E754" s="888"/>
      <c r="F754" s="888"/>
      <c r="G754" s="602"/>
      <c r="H754" s="645" t="s">
        <v>12</v>
      </c>
      <c r="I754" s="616"/>
      <c r="J754" s="616"/>
      <c r="K754" s="92"/>
      <c r="L754" s="646">
        <f>L755+L756</f>
        <v>0</v>
      </c>
      <c r="M754" s="646">
        <f>M755+M756</f>
        <v>0</v>
      </c>
      <c r="N754" s="646">
        <f>N755+N756</f>
        <v>0</v>
      </c>
      <c r="O754" s="646">
        <f t="shared" ref="O754:O759" si="101">IF(L754&gt;0,N754*100/L754,0)</f>
        <v>0</v>
      </c>
      <c r="P754" s="646">
        <f t="shared" ref="P754:P759" si="102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184</v>
      </c>
      <c r="F755" s="758"/>
      <c r="G755" s="602"/>
      <c r="H755" s="164" t="s">
        <v>12</v>
      </c>
      <c r="I755" s="616"/>
      <c r="J755" s="616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185</v>
      </c>
      <c r="F756" s="758"/>
      <c r="G756" s="602"/>
      <c r="H756" s="164" t="s">
        <v>12</v>
      </c>
      <c r="I756" s="616"/>
      <c r="J756" s="616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5"/>
      <c r="J757" s="165"/>
      <c r="K757" s="166"/>
      <c r="L757" s="646">
        <f>L758+L759</f>
        <v>0</v>
      </c>
      <c r="M757" s="646">
        <f>M758+M759</f>
        <v>0</v>
      </c>
      <c r="N757" s="646">
        <f>N758+N759</f>
        <v>0</v>
      </c>
      <c r="O757" s="646">
        <f t="shared" si="101"/>
        <v>0</v>
      </c>
      <c r="P757" s="646">
        <f t="shared" si="102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184</v>
      </c>
      <c r="F758" s="758"/>
      <c r="G758" s="602"/>
      <c r="H758" s="164" t="s">
        <v>12</v>
      </c>
      <c r="I758" s="616"/>
      <c r="J758" s="616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185</v>
      </c>
      <c r="F759" s="758"/>
      <c r="G759" s="602"/>
      <c r="H759" s="164" t="s">
        <v>12</v>
      </c>
      <c r="I759" s="616"/>
      <c r="J759" s="616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186</v>
      </c>
      <c r="G760" s="602"/>
      <c r="H760" s="164" t="s">
        <v>12</v>
      </c>
      <c r="I760" s="616"/>
      <c r="J760" s="616"/>
      <c r="K760" s="92"/>
      <c r="L760" s="92"/>
      <c r="M760" s="92"/>
      <c r="N760" s="92"/>
      <c r="O760" s="92"/>
      <c r="P760" s="92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187</v>
      </c>
      <c r="G761" s="602"/>
      <c r="H761" s="164" t="s">
        <v>12</v>
      </c>
      <c r="I761" s="616"/>
      <c r="J761" s="616"/>
      <c r="K761" s="92"/>
      <c r="L761" s="92"/>
      <c r="M761" s="92"/>
      <c r="N761" s="92"/>
      <c r="O761" s="92"/>
      <c r="P761" s="92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188</v>
      </c>
      <c r="G762" s="602"/>
      <c r="H762" s="164" t="s">
        <v>12</v>
      </c>
      <c r="I762" s="616"/>
      <c r="J762" s="616"/>
      <c r="K762" s="92"/>
      <c r="L762" s="92"/>
      <c r="M762" s="92"/>
      <c r="N762" s="92"/>
      <c r="O762" s="92"/>
      <c r="P762" s="92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189</v>
      </c>
      <c r="G763" s="602"/>
      <c r="H763" s="164" t="s">
        <v>12</v>
      </c>
      <c r="I763" s="616"/>
      <c r="J763" s="616"/>
      <c r="K763" s="92"/>
      <c r="L763" s="92"/>
      <c r="M763" s="92"/>
      <c r="N763" s="92"/>
      <c r="O763" s="92"/>
      <c r="P763" s="92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5"/>
      <c r="J764" s="165"/>
      <c r="K764" s="166"/>
      <c r="L764" s="646">
        <f>L765+L766</f>
        <v>0</v>
      </c>
      <c r="M764" s="646">
        <f>M765+M766</f>
        <v>0</v>
      </c>
      <c r="N764" s="646">
        <f>N765+N766</f>
        <v>0</v>
      </c>
      <c r="O764" s="646">
        <f>IF(L764&gt;0,N764*100/L764,0)</f>
        <v>0</v>
      </c>
      <c r="P764" s="646">
        <f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39" t="s">
        <v>38</v>
      </c>
      <c r="E767" s="650"/>
      <c r="F767" s="650"/>
      <c r="G767" s="651"/>
      <c r="H767" s="365"/>
      <c r="I767" s="165"/>
      <c r="J767" s="165"/>
      <c r="K767" s="166"/>
      <c r="L767" s="166"/>
      <c r="M767" s="166"/>
      <c r="N767" s="166"/>
      <c r="O767" s="166"/>
      <c r="P767" s="166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316</v>
      </c>
      <c r="F768" s="758"/>
      <c r="G768" s="602"/>
      <c r="H768" s="164" t="s">
        <v>46</v>
      </c>
      <c r="I768" s="616"/>
      <c r="J768" s="616"/>
      <c r="K768" s="92"/>
      <c r="L768" s="92"/>
      <c r="M768" s="92"/>
      <c r="N768" s="92"/>
      <c r="O768" s="92"/>
      <c r="P768" s="92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317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92" t="s">
        <v>17</v>
      </c>
      <c r="E770" s="888"/>
      <c r="F770" s="888"/>
      <c r="G770" s="602"/>
      <c r="H770" s="645" t="s">
        <v>12</v>
      </c>
      <c r="I770" s="616"/>
      <c r="J770" s="616"/>
      <c r="K770" s="92"/>
      <c r="L770" s="646">
        <f>L771+L772</f>
        <v>0</v>
      </c>
      <c r="M770" s="646">
        <f>M771+M772</f>
        <v>0</v>
      </c>
      <c r="N770" s="646">
        <f>N771+N772</f>
        <v>0</v>
      </c>
      <c r="O770" s="646">
        <f t="shared" ref="O770:O775" si="104">IF(L770&gt;0,N770*100/L770,0)</f>
        <v>0</v>
      </c>
      <c r="P770" s="646">
        <f t="shared" ref="P770:P775" si="105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184</v>
      </c>
      <c r="F771" s="758"/>
      <c r="G771" s="602"/>
      <c r="H771" s="164" t="s">
        <v>12</v>
      </c>
      <c r="I771" s="616"/>
      <c r="J771" s="616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185</v>
      </c>
      <c r="F772" s="758"/>
      <c r="G772" s="602"/>
      <c r="H772" s="164" t="s">
        <v>12</v>
      </c>
      <c r="I772" s="616"/>
      <c r="J772" s="616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5"/>
      <c r="J773" s="165"/>
      <c r="K773" s="166"/>
      <c r="L773" s="646">
        <f>L774+L775</f>
        <v>0</v>
      </c>
      <c r="M773" s="646">
        <f>M774+M775</f>
        <v>0</v>
      </c>
      <c r="N773" s="646">
        <f>N774+N775</f>
        <v>0</v>
      </c>
      <c r="O773" s="646">
        <f t="shared" si="104"/>
        <v>0</v>
      </c>
      <c r="P773" s="646">
        <f t="shared" si="105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184</v>
      </c>
      <c r="F774" s="758"/>
      <c r="G774" s="602"/>
      <c r="H774" s="164" t="s">
        <v>12</v>
      </c>
      <c r="I774" s="616"/>
      <c r="J774" s="616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185</v>
      </c>
      <c r="F775" s="758"/>
      <c r="G775" s="602"/>
      <c r="H775" s="164" t="s">
        <v>12</v>
      </c>
      <c r="I775" s="616"/>
      <c r="J775" s="616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186</v>
      </c>
      <c r="G776" s="602"/>
      <c r="H776" s="164" t="s">
        <v>12</v>
      </c>
      <c r="I776" s="616"/>
      <c r="J776" s="616"/>
      <c r="K776" s="92"/>
      <c r="L776" s="92"/>
      <c r="M776" s="92"/>
      <c r="N776" s="92"/>
      <c r="O776" s="92"/>
      <c r="P776" s="92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187</v>
      </c>
      <c r="G777" s="602"/>
      <c r="H777" s="164" t="s">
        <v>12</v>
      </c>
      <c r="I777" s="616"/>
      <c r="J777" s="616"/>
      <c r="K777" s="92"/>
      <c r="L777" s="92"/>
      <c r="M777" s="92"/>
      <c r="N777" s="92"/>
      <c r="O777" s="92"/>
      <c r="P777" s="92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188</v>
      </c>
      <c r="G778" s="602"/>
      <c r="H778" s="164" t="s">
        <v>12</v>
      </c>
      <c r="I778" s="616"/>
      <c r="J778" s="616"/>
      <c r="K778" s="92"/>
      <c r="L778" s="92"/>
      <c r="M778" s="92"/>
      <c r="N778" s="92"/>
      <c r="O778" s="92"/>
      <c r="P778" s="92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189</v>
      </c>
      <c r="G779" s="602"/>
      <c r="H779" s="164" t="s">
        <v>12</v>
      </c>
      <c r="I779" s="616"/>
      <c r="J779" s="616"/>
      <c r="K779" s="92"/>
      <c r="L779" s="92"/>
      <c r="M779" s="92"/>
      <c r="N779" s="92"/>
      <c r="O779" s="92"/>
      <c r="P779" s="92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5"/>
      <c r="J780" s="165"/>
      <c r="K780" s="166"/>
      <c r="L780" s="646">
        <f>L781+L782</f>
        <v>0</v>
      </c>
      <c r="M780" s="646">
        <f>M781+M782</f>
        <v>0</v>
      </c>
      <c r="N780" s="646">
        <f>N781+N782</f>
        <v>0</v>
      </c>
      <c r="O780" s="646">
        <f>IF(L780&gt;0,N780*100/L780,0)</f>
        <v>0</v>
      </c>
      <c r="P780" s="646">
        <f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39" t="s">
        <v>38</v>
      </c>
      <c r="E783" s="650"/>
      <c r="F783" s="650"/>
      <c r="G783" s="651"/>
      <c r="H783" s="800"/>
      <c r="I783" s="165"/>
      <c r="J783" s="165"/>
      <c r="K783" s="166"/>
      <c r="L783" s="166"/>
      <c r="M783" s="166"/>
      <c r="N783" s="166"/>
      <c r="O783" s="166"/>
      <c r="P783" s="166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318</v>
      </c>
      <c r="F784" s="758"/>
      <c r="G784" s="602"/>
      <c r="H784" s="164" t="s">
        <v>46</v>
      </c>
      <c r="I784" s="616"/>
      <c r="J784" s="616"/>
      <c r="K784" s="92"/>
      <c r="L784" s="92"/>
      <c r="M784" s="92"/>
      <c r="N784" s="92"/>
      <c r="O784" s="92"/>
      <c r="P784" s="92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319</v>
      </c>
      <c r="C785" s="803"/>
      <c r="D785" s="803"/>
      <c r="E785" s="803"/>
      <c r="F785" s="803"/>
      <c r="G785" s="804"/>
      <c r="H785" s="805" t="s">
        <v>46</v>
      </c>
      <c r="I785" s="806">
        <f ca="1">I800</f>
        <v>0</v>
      </c>
      <c r="J785" s="807">
        <f ca="1">J800</f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87" t="s">
        <v>17</v>
      </c>
      <c r="E786" s="888"/>
      <c r="F786" s="888"/>
      <c r="G786" s="188"/>
      <c r="H786" s="597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184</v>
      </c>
      <c r="F787" s="758"/>
      <c r="G787" s="602"/>
      <c r="H787" s="164" t="s">
        <v>12</v>
      </c>
      <c r="I787" s="616"/>
      <c r="J787" s="616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185</v>
      </c>
      <c r="F788" s="758"/>
      <c r="G788" s="602"/>
      <c r="H788" s="164" t="s">
        <v>12</v>
      </c>
      <c r="I788" s="616"/>
      <c r="J788" s="616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184</v>
      </c>
      <c r="F790" s="758"/>
      <c r="G790" s="602"/>
      <c r="H790" s="164" t="s">
        <v>12</v>
      </c>
      <c r="I790" s="616"/>
      <c r="J790" s="616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185</v>
      </c>
      <c r="F791" s="758"/>
      <c r="G791" s="602"/>
      <c r="H791" s="164" t="s">
        <v>12</v>
      </c>
      <c r="I791" s="616"/>
      <c r="J791" s="616"/>
      <c r="K791" s="92"/>
      <c r="L791" s="92">
        <f ca="1">IFERROR(__xludf.DUMMYFUNCTION("IMPORTRANGE(""https://docs.google.com/spreadsheets/d/1QqKyyYR6Q21VydFLVH3TRQUabQu_ym0Zz7PgGX0-kHA/edit?usp=sharing"",""แผน!JJ88"")"),0)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826">
        <v>0</v>
      </c>
      <c r="O792" s="497"/>
      <c r="P792" s="497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826">
        <v>0</v>
      </c>
      <c r="O793" s="497"/>
      <c r="P793" s="497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826">
        <v>0</v>
      </c>
      <c r="O794" s="497"/>
      <c r="P794" s="497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826">
        <v>0</v>
      </c>
      <c r="O795" s="497"/>
      <c r="P795" s="497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38" t="s">
        <v>38</v>
      </c>
      <c r="E799" s="760"/>
      <c r="F799" s="760"/>
      <c r="G799" s="612"/>
      <c r="H799" s="810"/>
      <c r="I799" s="183"/>
      <c r="J799" s="183"/>
      <c r="K799" s="162"/>
      <c r="L799" s="162"/>
      <c r="M799" s="162"/>
      <c r="N799" s="162"/>
      <c r="O799" s="162"/>
      <c r="P799" s="162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320</v>
      </c>
      <c r="G800" s="761"/>
      <c r="H800" s="184" t="s">
        <v>46</v>
      </c>
      <c r="I800" s="183">
        <f ca="1">IFERROR(__xludf.DUMMYFUNCTION("IMPORTRANGE(""https://docs.google.com/spreadsheets/d/1QqKyyYR6Q21VydFLVH3TRQUabQu_ym0Zz7PgGX0-kHA/edit?usp=sharing"",""แผน!JN88"")"),0)</f>
        <v>0</v>
      </c>
      <c r="J800" s="183">
        <f ca="1">IFERROR(__xludf.DUMMYFUNCTION("IMPORTRANGE(""https://docs.google.com/spreadsheets/d/1MaWodYyGHDf7siQLGxnXhG4mBNTNIuy296niS2xXulU/edit?usp=sharing"",""RTK!H88"")"),0)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IFERROR(__xludf.DUMMYFUNCTION("IMPORTRANGE(""https://docs.google.com/spreadsheets/d/1MaWodYyGHDf7siQLGxnXhG4mBNTNIuy296niS2xXulU/edit?usp=sharing"",""RTK!I88"")"),0)</f>
        <v>0</v>
      </c>
      <c r="K801" s="497"/>
      <c r="L801" s="497"/>
      <c r="M801" s="497"/>
      <c r="N801" s="497"/>
      <c r="O801" s="162"/>
      <c r="P801" s="162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321</v>
      </c>
      <c r="G802" s="365"/>
      <c r="H802" s="652" t="s">
        <v>46</v>
      </c>
      <c r="I802" s="165"/>
      <c r="J802" s="616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5"/>
      <c r="H803" s="652" t="s">
        <v>34</v>
      </c>
      <c r="I803" s="165"/>
      <c r="J803" s="616">
        <v>0</v>
      </c>
      <c r="K803" s="166"/>
      <c r="L803" s="166"/>
      <c r="M803" s="166"/>
      <c r="N803" s="166"/>
      <c r="O803" s="166"/>
      <c r="P803" s="166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322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92" t="s">
        <v>17</v>
      </c>
      <c r="E805" s="888"/>
      <c r="F805" s="888"/>
      <c r="G805" s="602"/>
      <c r="H805" s="645" t="s">
        <v>12</v>
      </c>
      <c r="I805" s="616"/>
      <c r="J805" s="616"/>
      <c r="K805" s="92"/>
      <c r="L805" s="646">
        <f>L806+L807</f>
        <v>0</v>
      </c>
      <c r="M805" s="646">
        <f>M806+M807</f>
        <v>0</v>
      </c>
      <c r="N805" s="646">
        <f>N806+N807</f>
        <v>0</v>
      </c>
      <c r="O805" s="646">
        <f t="shared" ref="O805:O810" si="110">IF(L805&gt;0,N805*100/L805,0)</f>
        <v>0</v>
      </c>
      <c r="P805" s="646">
        <f t="shared" ref="P805:P810" si="111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184</v>
      </c>
      <c r="F806" s="758"/>
      <c r="G806" s="602"/>
      <c r="H806" s="164" t="s">
        <v>12</v>
      </c>
      <c r="I806" s="616"/>
      <c r="J806" s="616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185</v>
      </c>
      <c r="F807" s="758"/>
      <c r="G807" s="602"/>
      <c r="H807" s="164" t="s">
        <v>12</v>
      </c>
      <c r="I807" s="616"/>
      <c r="J807" s="616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912" t="s">
        <v>20</v>
      </c>
      <c r="E808" s="888"/>
      <c r="F808" s="888"/>
      <c r="G808" s="602"/>
      <c r="H808" s="645" t="s">
        <v>12</v>
      </c>
      <c r="I808" s="165"/>
      <c r="J808" s="165"/>
      <c r="K808" s="166"/>
      <c r="L808" s="646">
        <f>L809+L810</f>
        <v>0</v>
      </c>
      <c r="M808" s="646">
        <f>M809+M810</f>
        <v>0</v>
      </c>
      <c r="N808" s="646">
        <f>N809+N810</f>
        <v>0</v>
      </c>
      <c r="O808" s="646">
        <f t="shared" si="110"/>
        <v>0</v>
      </c>
      <c r="P808" s="646">
        <f t="shared" si="111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184</v>
      </c>
      <c r="F809" s="758"/>
      <c r="G809" s="602"/>
      <c r="H809" s="164" t="s">
        <v>12</v>
      </c>
      <c r="I809" s="616"/>
      <c r="J809" s="616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185</v>
      </c>
      <c r="F810" s="758"/>
      <c r="G810" s="602"/>
      <c r="H810" s="164" t="s">
        <v>12</v>
      </c>
      <c r="I810" s="616"/>
      <c r="J810" s="616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186</v>
      </c>
      <c r="G811" s="602"/>
      <c r="H811" s="164" t="s">
        <v>12</v>
      </c>
      <c r="I811" s="616"/>
      <c r="J811" s="616"/>
      <c r="K811" s="92"/>
      <c r="L811" s="92"/>
      <c r="M811" s="92"/>
      <c r="N811" s="92"/>
      <c r="O811" s="92"/>
      <c r="P811" s="92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187</v>
      </c>
      <c r="G812" s="602"/>
      <c r="H812" s="164" t="s">
        <v>12</v>
      </c>
      <c r="I812" s="616"/>
      <c r="J812" s="616"/>
      <c r="K812" s="92"/>
      <c r="L812" s="92"/>
      <c r="M812" s="92"/>
      <c r="N812" s="92"/>
      <c r="O812" s="92"/>
      <c r="P812" s="92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188</v>
      </c>
      <c r="G813" s="602"/>
      <c r="H813" s="164" t="s">
        <v>12</v>
      </c>
      <c r="I813" s="616"/>
      <c r="J813" s="616"/>
      <c r="K813" s="92"/>
      <c r="L813" s="92"/>
      <c r="M813" s="92"/>
      <c r="N813" s="92"/>
      <c r="O813" s="92"/>
      <c r="P813" s="92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189</v>
      </c>
      <c r="G814" s="602"/>
      <c r="H814" s="164" t="s">
        <v>12</v>
      </c>
      <c r="I814" s="616"/>
      <c r="J814" s="616"/>
      <c r="K814" s="92"/>
      <c r="L814" s="92"/>
      <c r="M814" s="92"/>
      <c r="N814" s="92"/>
      <c r="O814" s="92"/>
      <c r="P814" s="92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912" t="s">
        <v>21</v>
      </c>
      <c r="E815" s="888"/>
      <c r="F815" s="888"/>
      <c r="G815" s="602"/>
      <c r="H815" s="782" t="s">
        <v>12</v>
      </c>
      <c r="I815" s="165"/>
      <c r="J815" s="165"/>
      <c r="K815" s="166"/>
      <c r="L815" s="646">
        <f>L816+L817</f>
        <v>0</v>
      </c>
      <c r="M815" s="646">
        <f>M816+M817</f>
        <v>0</v>
      </c>
      <c r="N815" s="646">
        <f>N816+N817</f>
        <v>0</v>
      </c>
      <c r="O815" s="646">
        <f>IF(L815&gt;0,N815*100/L815,0)</f>
        <v>0</v>
      </c>
      <c r="P815" s="646">
        <f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37" t="s">
        <v>38</v>
      </c>
      <c r="E818" s="650"/>
      <c r="F818" s="650"/>
      <c r="G818" s="651"/>
      <c r="H818" s="365"/>
      <c r="I818" s="165"/>
      <c r="J818" s="165"/>
      <c r="K818" s="166"/>
      <c r="L818" s="166"/>
      <c r="M818" s="166"/>
      <c r="N818" s="166"/>
      <c r="O818" s="166"/>
      <c r="P818" s="166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323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36" t="s">
        <v>340</v>
      </c>
      <c r="B820" s="834"/>
      <c r="C820" s="834"/>
      <c r="D820" s="835"/>
      <c r="E820" s="834"/>
      <c r="F820" s="834"/>
      <c r="G820" s="833"/>
      <c r="H820" s="832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1"/>
      <c r="J820" s="831"/>
      <c r="K820" s="830"/>
      <c r="L820" s="830"/>
      <c r="M820" s="830"/>
      <c r="N820" s="830"/>
      <c r="O820" s="830"/>
      <c r="P820" s="83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325</v>
      </c>
      <c r="C821" s="762"/>
      <c r="D821" s="574"/>
      <c r="E821" s="762"/>
      <c r="F821" s="762"/>
      <c r="G821" s="188"/>
      <c r="H821" s="622" t="s">
        <v>12</v>
      </c>
      <c r="I821" s="269">
        <f ca="1">IFERROR(__xludf.DUMMYFUNCTION("IMPORTRANGE(""https://docs.google.com/spreadsheets/d/19vJNZY_5yjcGF2XGBMNZRCAIB0Kwfpjp8YEOfu-bneM/edit?usp=sharing"",""งานกองทุน!D88"")"),4380983.93)</f>
        <v>4380983.93</v>
      </c>
      <c r="J821" s="269">
        <f ca="1">IFERROR(__xludf.DUMMYFUNCTION("IMPORTRANGE(""https://docs.google.com/spreadsheets/d/19vJNZY_5yjcGF2XGBMNZRCAIB0Kwfpjp8YEOfu-bneM/edit?usp=sharing"",""งานกองทุน!F88"")"),4329209.25)</f>
        <v>4329209.25</v>
      </c>
      <c r="K821" s="497">
        <f t="shared" ref="K821:K828" ca="1" si="113">IF(I821&gt;0,J821*100/I821,0)</f>
        <v>98.818195162838691</v>
      </c>
      <c r="L821" s="497"/>
      <c r="M821" s="497"/>
      <c r="N821" s="497"/>
      <c r="O821" s="497"/>
      <c r="P821" s="497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8"/>
      <c r="H822" s="622" t="s">
        <v>35</v>
      </c>
      <c r="I822" s="269">
        <f ca="1">IFERROR(__xludf.DUMMYFUNCTION("IMPORTRANGE(""https://docs.google.com/spreadsheets/d/19vJNZY_5yjcGF2XGBMNZRCAIB0Kwfpjp8YEOfu-bneM/edit?usp=sharing"",""งานกองทุน!C88"")"),276)</f>
        <v>276</v>
      </c>
      <c r="J822" s="269">
        <f ca="1">IFERROR(__xludf.DUMMYFUNCTION("IMPORTRANGE(""https://docs.google.com/spreadsheets/d/19vJNZY_5yjcGF2XGBMNZRCAIB0Kwfpjp8YEOfu-bneM/edit?usp=sharing"",""งานกองทุน!E88"")"),278)</f>
        <v>278</v>
      </c>
      <c r="K822" s="497">
        <f t="shared" ca="1" si="113"/>
        <v>100.72463768115942</v>
      </c>
      <c r="L822" s="497"/>
      <c r="M822" s="497"/>
      <c r="N822" s="497"/>
      <c r="O822" s="497"/>
      <c r="P822" s="497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326</v>
      </c>
      <c r="C823" s="762"/>
      <c r="D823" s="574"/>
      <c r="E823" s="762"/>
      <c r="F823" s="762"/>
      <c r="G823" s="188"/>
      <c r="H823" s="622" t="s">
        <v>12</v>
      </c>
      <c r="I823" s="269">
        <f ca="1">IFERROR(__xludf.DUMMYFUNCTION("IMPORTRANGE(""https://docs.google.com/spreadsheets/d/19vJNZY_5yjcGF2XGBMNZRCAIB0Kwfpjp8YEOfu-bneM/edit?usp=sharing"",""งานกองทุน!I88"")"),1786752.43)</f>
        <v>1786752.43</v>
      </c>
      <c r="J823" s="269">
        <f ca="1">IFERROR(__xludf.DUMMYFUNCTION("IMPORTRANGE(""https://docs.google.com/spreadsheets/d/19vJNZY_5yjcGF2XGBMNZRCAIB0Kwfpjp8YEOfu-bneM/edit?usp=sharing"",""งานกองทุน!K88"")"),751151.12)</f>
        <v>751151.12</v>
      </c>
      <c r="K823" s="497">
        <f t="shared" ca="1" si="113"/>
        <v>42.040022299004235</v>
      </c>
      <c r="L823" s="497"/>
      <c r="M823" s="497"/>
      <c r="N823" s="497"/>
      <c r="O823" s="497"/>
      <c r="P823" s="497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8"/>
      <c r="H824" s="622" t="s">
        <v>35</v>
      </c>
      <c r="I824" s="269">
        <f ca="1">IFERROR(__xludf.DUMMYFUNCTION("IMPORTRANGE(""https://docs.google.com/spreadsheets/d/19vJNZY_5yjcGF2XGBMNZRCAIB0Kwfpjp8YEOfu-bneM/edit?usp=sharing"",""งานกองทุน!H88"")"),60)</f>
        <v>60</v>
      </c>
      <c r="J824" s="269">
        <f ca="1">IFERROR(__xludf.DUMMYFUNCTION("IMPORTRANGE(""https://docs.google.com/spreadsheets/d/19vJNZY_5yjcGF2XGBMNZRCAIB0Kwfpjp8YEOfu-bneM/edit?usp=sharing"",""งานกองทุน!J88"")"),53)</f>
        <v>53</v>
      </c>
      <c r="K824" s="497">
        <f t="shared" ca="1" si="113"/>
        <v>88.333333333333329</v>
      </c>
      <c r="L824" s="497"/>
      <c r="M824" s="497"/>
      <c r="N824" s="497"/>
      <c r="O824" s="497"/>
      <c r="P824" s="497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327</v>
      </c>
      <c r="C825" s="762"/>
      <c r="D825" s="574"/>
      <c r="E825" s="762"/>
      <c r="F825" s="762"/>
      <c r="G825" s="188"/>
      <c r="H825" s="622" t="s">
        <v>12</v>
      </c>
      <c r="I825" s="269">
        <f ca="1">IFERROR(__xludf.DUMMYFUNCTION("IMPORTRANGE(""https://docs.google.com/spreadsheets/d/19vJNZY_5yjcGF2XGBMNZRCAIB0Kwfpjp8YEOfu-bneM/edit?usp=sharing"",""งานกองทุน!N88"")"),243275)</f>
        <v>243275</v>
      </c>
      <c r="J825" s="269">
        <f ca="1">IFERROR(__xludf.DUMMYFUNCTION("IMPORTRANGE(""https://docs.google.com/spreadsheets/d/19vJNZY_5yjcGF2XGBMNZRCAIB0Kwfpjp8YEOfu-bneM/edit?usp=sharing"",""งานกองทุน!P88"")"),347623)</f>
        <v>347623</v>
      </c>
      <c r="K825" s="497">
        <f t="shared" ca="1" si="113"/>
        <v>142.8930222998664</v>
      </c>
      <c r="L825" s="497"/>
      <c r="M825" s="497"/>
      <c r="N825" s="497"/>
      <c r="O825" s="497"/>
      <c r="P825" s="497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8"/>
      <c r="H826" s="622" t="s">
        <v>35</v>
      </c>
      <c r="I826" s="269">
        <f ca="1">IFERROR(__xludf.DUMMYFUNCTION("IMPORTRANGE(""https://docs.google.com/spreadsheets/d/19vJNZY_5yjcGF2XGBMNZRCAIB0Kwfpjp8YEOfu-bneM/edit?usp=sharing"",""งานกองทุน!M88"")"),119)</f>
        <v>119</v>
      </c>
      <c r="J826" s="269">
        <f ca="1">IFERROR(__xludf.DUMMYFUNCTION("IMPORTRANGE(""https://docs.google.com/spreadsheets/d/19vJNZY_5yjcGF2XGBMNZRCAIB0Kwfpjp8YEOfu-bneM/edit?usp=sharing"",""งานกองทุน!O88"")"),151)</f>
        <v>151</v>
      </c>
      <c r="K826" s="497">
        <f t="shared" ca="1" si="113"/>
        <v>126.89075630252101</v>
      </c>
      <c r="L826" s="497"/>
      <c r="M826" s="497"/>
      <c r="N826" s="497"/>
      <c r="O826" s="497"/>
      <c r="P826" s="497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328</v>
      </c>
      <c r="C827" s="762"/>
      <c r="D827" s="574"/>
      <c r="E827" s="762"/>
      <c r="F827" s="762"/>
      <c r="G827" s="188"/>
      <c r="H827" s="622" t="s">
        <v>12</v>
      </c>
      <c r="I827" s="269">
        <f ca="1">IFERROR(__xludf.DUMMYFUNCTION("IMPORTRANGE(""https://docs.google.com/spreadsheets/d/19vJNZY_5yjcGF2XGBMNZRCAIB0Kwfpjp8YEOfu-bneM/edit?usp=sharing"",""งานกองทุน!S88"")"),2150000)</f>
        <v>2150000</v>
      </c>
      <c r="J827" s="269">
        <f ca="1">IFERROR(__xludf.DUMMYFUNCTION("IMPORTRANGE(""https://docs.google.com/spreadsheets/d/19vJNZY_5yjcGF2XGBMNZRCAIB0Kwfpjp8YEOfu-bneM/edit?usp=sharing"",""งานกองทุน!U88"")"),2150000)</f>
        <v>2150000</v>
      </c>
      <c r="K827" s="497">
        <f t="shared" ca="1" si="113"/>
        <v>100</v>
      </c>
      <c r="L827" s="497"/>
      <c r="M827" s="497"/>
      <c r="N827" s="497"/>
      <c r="O827" s="497"/>
      <c r="P827" s="497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827"/>
      <c r="B828" s="748"/>
      <c r="C828" s="748"/>
      <c r="D828" s="747"/>
      <c r="E828" s="748"/>
      <c r="F828" s="748"/>
      <c r="G828" s="828"/>
      <c r="H828" s="829" t="s">
        <v>35</v>
      </c>
      <c r="I828" s="505">
        <f ca="1">IFERROR(__xludf.DUMMYFUNCTION("IMPORTRANGE(""https://docs.google.com/spreadsheets/d/19vJNZY_5yjcGF2XGBMNZRCAIB0Kwfpjp8YEOfu-bneM/edit?usp=sharing"",""งานกองทุน!R88"")"),86)</f>
        <v>86</v>
      </c>
      <c r="J828" s="505">
        <f ca="1">IFERROR(__xludf.DUMMYFUNCTION("IMPORTRANGE(""https://docs.google.com/spreadsheets/d/19vJNZY_5yjcGF2XGBMNZRCAIB0Kwfpjp8YEOfu-bneM/edit?usp=sharing"",""งานกองทุน!T88"")"),43)</f>
        <v>43</v>
      </c>
      <c r="K828" s="506">
        <f t="shared" ca="1" si="113"/>
        <v>50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 gridLines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41732-CD5C-4B5A-AC17-AF04C8982F4A}">
  <sheetPr>
    <outlinePr summaryBelow="0" summaryRight="0"/>
    <pageSetUpPr fitToPage="1"/>
  </sheetPr>
  <dimension ref="A1:Z828"/>
  <sheetViews>
    <sheetView view="pageBreakPreview" zoomScale="50" zoomScaleNormal="10" zoomScaleSheetLayoutView="50" workbookViewId="0">
      <pane ySplit="2" topLeftCell="A3" activePane="bottomLeft" state="frozen"/>
      <selection activeCell="X18" sqref="X18:X21"/>
      <selection pane="bottomLeft" activeCell="X18" sqref="X18:X2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5.85546875" bestFit="1" customWidth="1"/>
    <col min="10" max="10" width="17.5703125" bestFit="1" customWidth="1"/>
    <col min="11" max="11" width="13" bestFit="1" customWidth="1"/>
    <col min="12" max="14" width="23.85546875" bestFit="1" customWidth="1"/>
    <col min="15" max="15" width="20.140625" bestFit="1" customWidth="1"/>
    <col min="16" max="16" width="22" bestFit="1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333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354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4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68548937</v>
      </c>
      <c r="M8" s="21">
        <f ca="1">M9+M10</f>
        <v>68536612.129999995</v>
      </c>
      <c r="N8" s="21">
        <f ca="1">N9+N10</f>
        <v>42028396.129999995</v>
      </c>
      <c r="O8" s="21">
        <f t="shared" ref="O8:O16" ca="1" si="0">IF(L8&gt;0,N8*100/L8,0)</f>
        <v>61.311521329645117</v>
      </c>
      <c r="P8" s="21">
        <f t="shared" ref="P8:P16" ca="1" si="1">IF(M8&gt;0,N8*100/M8,0)</f>
        <v>61.322546918836153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68548937</v>
      </c>
      <c r="M10" s="29">
        <f t="shared" ca="1" si="2"/>
        <v>68536612.129999995</v>
      </c>
      <c r="N10" s="29">
        <f t="shared" ca="1" si="2"/>
        <v>42028396.129999995</v>
      </c>
      <c r="O10" s="29">
        <f t="shared" ca="1" si="0"/>
        <v>61.311521329645117</v>
      </c>
      <c r="P10" s="29">
        <f t="shared" ca="1" si="1"/>
        <v>61.322546918836153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22" t="s">
        <v>12</v>
      </c>
      <c r="I11" s="269"/>
      <c r="J11" s="269"/>
      <c r="K11" s="497"/>
      <c r="L11" s="497">
        <f ca="1">L12+L13</f>
        <v>4851137</v>
      </c>
      <c r="M11" s="497">
        <f ca="1">M12+M13</f>
        <v>4883137.9400000004</v>
      </c>
      <c r="N11" s="497">
        <f ca="1">N12+N13</f>
        <v>4883137.9400000004</v>
      </c>
      <c r="O11" s="497">
        <f t="shared" ca="1" si="0"/>
        <v>100.65965855015021</v>
      </c>
      <c r="P11" s="497">
        <f t="shared" ca="1" si="1"/>
        <v>100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6"/>
      <c r="J12" s="616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6"/>
      <c r="J13" s="616"/>
      <c r="K13" s="92"/>
      <c r="L13" s="92">
        <f t="shared" ca="1" si="3"/>
        <v>4851137</v>
      </c>
      <c r="M13" s="92">
        <f t="shared" ca="1" si="3"/>
        <v>4883137.9400000004</v>
      </c>
      <c r="N13" s="92">
        <f t="shared" ca="1" si="3"/>
        <v>4883137.9400000004</v>
      </c>
      <c r="O13" s="92">
        <f t="shared" ca="1" si="0"/>
        <v>100.65965855015021</v>
      </c>
      <c r="P13" s="92">
        <f t="shared" ca="1" si="1"/>
        <v>100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22" t="s">
        <v>12</v>
      </c>
      <c r="I14" s="269"/>
      <c r="J14" s="269"/>
      <c r="K14" s="497"/>
      <c r="L14" s="497">
        <f ca="1">L15+L16</f>
        <v>63697800</v>
      </c>
      <c r="M14" s="497">
        <f ca="1">M15+M16</f>
        <v>63653474.189999998</v>
      </c>
      <c r="N14" s="497">
        <f ca="1">N15+N16</f>
        <v>37145258.189999998</v>
      </c>
      <c r="O14" s="497">
        <f t="shared" ca="1" si="0"/>
        <v>58.314821218315231</v>
      </c>
      <c r="P14" s="497">
        <f t="shared" ca="1" si="1"/>
        <v>58.355429397497907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6"/>
      <c r="J15" s="616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63697800</v>
      </c>
      <c r="M16" s="51">
        <f t="shared" ca="1" si="4"/>
        <v>63653474.189999998</v>
      </c>
      <c r="N16" s="51">
        <f t="shared" ca="1" si="4"/>
        <v>37145258.189999998</v>
      </c>
      <c r="O16" s="51">
        <f t="shared" ca="1" si="0"/>
        <v>58.314821218315231</v>
      </c>
      <c r="P16" s="51">
        <f t="shared" ca="1" si="1"/>
        <v>58.355429397497907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66825420</v>
      </c>
      <c r="M18" s="21">
        <f ca="1">M19+M20</f>
        <v>67018435.18</v>
      </c>
      <c r="N18" s="21">
        <f ca="1">N19+N20</f>
        <v>40510219.18</v>
      </c>
      <c r="O18" s="21">
        <f t="shared" ref="O18:O26" ca="1" si="5">IF(L18&gt;0,N18*100/L18,0)</f>
        <v>60.620972049259102</v>
      </c>
      <c r="P18" s="21">
        <f t="shared" ref="P18:P26" ca="1" si="6">IF(M18&gt;0,N18*100/M18,0)</f>
        <v>60.446381762266626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66825420</v>
      </c>
      <c r="M20" s="29">
        <f t="shared" ca="1" si="7"/>
        <v>67018435.18</v>
      </c>
      <c r="N20" s="29">
        <f t="shared" ca="1" si="7"/>
        <v>40510219.18</v>
      </c>
      <c r="O20" s="29">
        <f t="shared" ca="1" si="5"/>
        <v>60.620972049259102</v>
      </c>
      <c r="P20" s="29">
        <f t="shared" ca="1" si="6"/>
        <v>60.446381762266626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22" t="s">
        <v>12</v>
      </c>
      <c r="I21" s="269"/>
      <c r="J21" s="269"/>
      <c r="K21" s="497"/>
      <c r="L21" s="497">
        <f ca="1">L22+L23</f>
        <v>3127620</v>
      </c>
      <c r="M21" s="497">
        <f ca="1">M22+M23</f>
        <v>3364960.99</v>
      </c>
      <c r="N21" s="497">
        <f ca="1">N22+N23</f>
        <v>3364960.99</v>
      </c>
      <c r="O21" s="497">
        <f t="shared" ca="1" si="5"/>
        <v>107.58854944014938</v>
      </c>
      <c r="P21" s="497">
        <f t="shared" ca="1" si="6"/>
        <v>100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6"/>
      <c r="J22" s="616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6"/>
      <c r="J23" s="616"/>
      <c r="K23" s="92"/>
      <c r="L23" s="92">
        <f t="shared" ca="1" si="8"/>
        <v>3127620</v>
      </c>
      <c r="M23" s="92">
        <f t="shared" ca="1" si="8"/>
        <v>3364960.99</v>
      </c>
      <c r="N23" s="92">
        <f t="shared" ca="1" si="8"/>
        <v>3364960.99</v>
      </c>
      <c r="O23" s="92">
        <f t="shared" ca="1" si="5"/>
        <v>107.58854944014938</v>
      </c>
      <c r="P23" s="92">
        <f t="shared" ca="1" si="6"/>
        <v>100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22" t="s">
        <v>12</v>
      </c>
      <c r="I24" s="269"/>
      <c r="J24" s="269"/>
      <c r="K24" s="497"/>
      <c r="L24" s="497">
        <f ca="1">L25+L26</f>
        <v>63697800</v>
      </c>
      <c r="M24" s="497">
        <f ca="1">M25+M26</f>
        <v>63653474.189999998</v>
      </c>
      <c r="N24" s="497">
        <f ca="1">N25+N26</f>
        <v>37145258.189999998</v>
      </c>
      <c r="O24" s="497">
        <f t="shared" ca="1" si="5"/>
        <v>58.314821218315231</v>
      </c>
      <c r="P24" s="497">
        <f t="shared" ca="1" si="6"/>
        <v>58.355429397497907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6"/>
      <c r="J25" s="616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63697800</v>
      </c>
      <c r="M26" s="51">
        <f t="shared" ca="1" si="9"/>
        <v>63653474.189999998</v>
      </c>
      <c r="N26" s="51">
        <f t="shared" ca="1" si="9"/>
        <v>37145258.189999998</v>
      </c>
      <c r="O26" s="51">
        <f t="shared" ca="1" si="5"/>
        <v>58.314821218315231</v>
      </c>
      <c r="P26" s="51">
        <f t="shared" ca="1" si="6"/>
        <v>58.355429397497907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1723517</v>
      </c>
      <c r="M28" s="21">
        <f ca="1">M29+M30</f>
        <v>1518176.95</v>
      </c>
      <c r="N28" s="21">
        <f>N29+N30</f>
        <v>1518176.95</v>
      </c>
      <c r="O28" s="21">
        <f t="shared" ref="O28:O37" ca="1" si="10">IF(L28&gt;0,N28*100/L28,0)</f>
        <v>88.085986387137467</v>
      </c>
      <c r="P28" s="21">
        <f t="shared" ref="P28:P37" ca="1" si="11">IF(M28&gt;0,N28*100/M28,0)</f>
        <v>100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1723517</v>
      </c>
      <c r="M30" s="29">
        <f t="shared" ca="1" si="12"/>
        <v>1518176.95</v>
      </c>
      <c r="N30" s="29">
        <f t="shared" si="12"/>
        <v>1518176.95</v>
      </c>
      <c r="O30" s="29">
        <f t="shared" ca="1" si="10"/>
        <v>88.085986387137467</v>
      </c>
      <c r="P30" s="29">
        <f t="shared" ca="1" si="11"/>
        <v>100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22" t="s">
        <v>12</v>
      </c>
      <c r="I31" s="269"/>
      <c r="J31" s="269"/>
      <c r="K31" s="497"/>
      <c r="L31" s="497">
        <f ca="1">L32+L33</f>
        <v>1723517</v>
      </c>
      <c r="M31" s="497">
        <f ca="1">M32+M33</f>
        <v>1518176.95</v>
      </c>
      <c r="N31" s="497">
        <f>N32+N33</f>
        <v>1518176.95</v>
      </c>
      <c r="O31" s="497">
        <f t="shared" ca="1" si="10"/>
        <v>88.085986387137467</v>
      </c>
      <c r="P31" s="497">
        <f t="shared" ca="1" si="11"/>
        <v>100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6"/>
      <c r="J32" s="616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6"/>
      <c r="J33" s="616"/>
      <c r="K33" s="92"/>
      <c r="L33" s="92">
        <f t="shared" ca="1" si="13"/>
        <v>1723517</v>
      </c>
      <c r="M33" s="92">
        <f t="shared" ca="1" si="13"/>
        <v>1518176.95</v>
      </c>
      <c r="N33" s="92">
        <f t="shared" si="13"/>
        <v>1518176.95</v>
      </c>
      <c r="O33" s="92">
        <f t="shared" ca="1" si="10"/>
        <v>88.085986387137467</v>
      </c>
      <c r="P33" s="92">
        <f t="shared" ca="1" si="11"/>
        <v>100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22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6"/>
      <c r="J35" s="616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868" t="s">
        <v>24</v>
      </c>
      <c r="B37" s="867"/>
      <c r="C37" s="867"/>
      <c r="D37" s="867"/>
      <c r="E37" s="867"/>
      <c r="F37" s="867"/>
      <c r="G37" s="866"/>
      <c r="H37" s="865"/>
      <c r="I37" s="864"/>
      <c r="J37" s="864"/>
      <c r="K37" s="863"/>
      <c r="L37" s="862">
        <f ca="1">L41+L53+L66+L88+L119+L132+L149+L165+L181+L261+L277+L298+L315+L328+L345+L389+L402</f>
        <v>66825420</v>
      </c>
      <c r="M37" s="862">
        <f ca="1">M41+M53+M66+M88+M119+M132+M149+M165+M181+M261+M277+M298+M315+M328+M345+M389+M402</f>
        <v>67018435.18</v>
      </c>
      <c r="N37" s="862">
        <f ca="1">N41+N53+N66+N88+N119+N132+N149+N165+N181+N261+N277+N298+N315+N328+N345+N389+N402</f>
        <v>40510219.18</v>
      </c>
      <c r="O37" s="862">
        <f t="shared" ca="1" si="10"/>
        <v>60.620972049259102</v>
      </c>
      <c r="P37" s="862">
        <f t="shared" ca="1" si="11"/>
        <v>60.446381762266626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9" t="s">
        <v>27</v>
      </c>
      <c r="C40" s="888"/>
      <c r="D40" s="888"/>
      <c r="E40" s="888"/>
      <c r="F40" s="888"/>
      <c r="G40" s="894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1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532050</v>
      </c>
      <c r="M41" s="84">
        <f ca="1">M42+M43</f>
        <v>533950.99</v>
      </c>
      <c r="N41" s="84">
        <f ca="1">N42+N43</f>
        <v>533950.99</v>
      </c>
      <c r="O41" s="84">
        <f t="shared" ref="O41:O49" ca="1" si="15">IF(L41&gt;0,N41*100/L41,0)</f>
        <v>100.35729536697679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532050</v>
      </c>
      <c r="M43" s="91">
        <f t="shared" ca="1" si="17"/>
        <v>533950.99</v>
      </c>
      <c r="N43" s="91">
        <f t="shared" ca="1" si="17"/>
        <v>533950.99</v>
      </c>
      <c r="O43" s="91">
        <f t="shared" ca="1" si="15"/>
        <v>100.35729536697679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22" t="s">
        <v>12</v>
      </c>
      <c r="I44" s="269"/>
      <c r="J44" s="269"/>
      <c r="K44" s="497"/>
      <c r="L44" s="497">
        <f ca="1">L45+L46</f>
        <v>532050</v>
      </c>
      <c r="M44" s="497">
        <f ca="1">M45+M46</f>
        <v>533950.99</v>
      </c>
      <c r="N44" s="497">
        <f ca="1">N45+N46</f>
        <v>533950.99</v>
      </c>
      <c r="O44" s="497">
        <f t="shared" ca="1" si="15"/>
        <v>100.35729536697679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6"/>
      <c r="J45" s="616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6"/>
      <c r="J46" s="616"/>
      <c r="K46" s="92"/>
      <c r="L46" s="92">
        <f ca="1">IFERROR(__xludf.DUMMYFUNCTION("IMPORTRANGE(""https://docs.google.com/spreadsheets/d/1MeEWN-I1oV_STSDYn1IFDPWt_1FKiwhDph83XaGc0o0/edit?usp=sharing"",""งบพรบ!M75"")"),532050)</f>
        <v>532050</v>
      </c>
      <c r="M46" s="92">
        <f ca="1">IFERROR(__xludf.DUMMYFUNCTION("IMPORTRANGE(""https://docs.google.com/spreadsheets/d/1MeEWN-I1oV_STSDYn1IFDPWt_1FKiwhDph83XaGc0o0/edit?usp=sharing"",""งบพรบ!R75"")"),533950.99)</f>
        <v>533950.99</v>
      </c>
      <c r="N46" s="92">
        <f ca="1">IFERROR(__xludf.DUMMYFUNCTION("IMPORTRANGE(""https://docs.google.com/spreadsheets/d/1MeEWN-I1oV_STSDYn1IFDPWt_1FKiwhDph83XaGc0o0/edit?usp=sharing"",""งบพรบ!T75"")"),533950.99)</f>
        <v>533950.99</v>
      </c>
      <c r="O46" s="92">
        <f t="shared" ca="1" si="15"/>
        <v>100.35729536697679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22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6"/>
      <c r="J48" s="616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IFERROR(__xludf.DUMMYFUNCTION("IMPORTRANGE(""https://docs.google.com/spreadsheets/d/1MeEWN-I1oV_STSDYn1IFDPWt_1FKiwhDph83XaGc0o0/edit?usp=sharing"",""งบพรบ!P75"")"),0)</f>
        <v>0</v>
      </c>
      <c r="M49" s="51">
        <f ca="1">IFERROR(__xludf.DUMMYFUNCTION("IMPORTRANGE(""https://docs.google.com/spreadsheets/d/1MeEWN-I1oV_STSDYn1IFDPWt_1FKiwhDph83XaGc0o0/edit?usp=sharing"",""งบพรบ!S75"")"),0)</f>
        <v>0</v>
      </c>
      <c r="N49" s="51">
        <f ca="1">IFERROR(__xludf.DUMMYFUNCTION("IMPORTRANGE(""https://docs.google.com/spreadsheets/d/1MeEWN-I1oV_STSDYn1IFDPWt_1FKiwhDph83XaGc0o0/edit?usp=sharing"",""งบพรบ!U75"")"),0)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3" t="s">
        <v>29</v>
      </c>
      <c r="C51" s="888"/>
      <c r="D51" s="888"/>
      <c r="E51" s="888"/>
      <c r="F51" s="888"/>
      <c r="G51" s="894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654600</v>
      </c>
      <c r="M53" s="115">
        <f ca="1">M54+M55</f>
        <v>657500</v>
      </c>
      <c r="N53" s="115">
        <f ca="1">N54+N55</f>
        <v>743600</v>
      </c>
      <c r="O53" s="115">
        <f t="shared" ref="O53:O61" ca="1" si="18">IF(L53&gt;0,N53*100/L53,0)</f>
        <v>113.59608921478765</v>
      </c>
      <c r="P53" s="115">
        <f t="shared" ref="P53:P61" ca="1" si="19">IF(M53&gt;0,N53*100/M53,0)</f>
        <v>113.09505703422053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654600</v>
      </c>
      <c r="M55" s="122">
        <f t="shared" ca="1" si="20"/>
        <v>657500</v>
      </c>
      <c r="N55" s="122">
        <f t="shared" ca="1" si="20"/>
        <v>743600</v>
      </c>
      <c r="O55" s="122">
        <f t="shared" ca="1" si="18"/>
        <v>113.59608921478765</v>
      </c>
      <c r="P55" s="122">
        <f t="shared" ca="1" si="19"/>
        <v>113.09505703422053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22" t="s">
        <v>12</v>
      </c>
      <c r="I56" s="269"/>
      <c r="J56" s="269"/>
      <c r="K56" s="497"/>
      <c r="L56" s="497">
        <f ca="1">L57+L58</f>
        <v>654600</v>
      </c>
      <c r="M56" s="497">
        <f ca="1">M57+M58</f>
        <v>657500</v>
      </c>
      <c r="N56" s="497">
        <f ca="1">N57+N58</f>
        <v>657500</v>
      </c>
      <c r="O56" s="497">
        <f t="shared" ca="1" si="18"/>
        <v>100.44301863733578</v>
      </c>
      <c r="P56" s="497">
        <f t="shared" ca="1" si="19"/>
        <v>100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6"/>
      <c r="J57" s="616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6"/>
      <c r="J58" s="616"/>
      <c r="K58" s="92"/>
      <c r="L58" s="92">
        <f ca="1">IFERROR(__xludf.DUMMYFUNCTION("IMPORTRANGE(""https://docs.google.com/spreadsheets/d/1MeEWN-I1oV_STSDYn1IFDPWt_1FKiwhDph83XaGc0o0/edit?usp=sharing"",""งบพรบ!W75"")"),654600)</f>
        <v>654600</v>
      </c>
      <c r="M58" s="92">
        <f ca="1">IFERROR(__xludf.DUMMYFUNCTION("IMPORTRANGE(""https://docs.google.com/spreadsheets/d/1MeEWN-I1oV_STSDYn1IFDPWt_1FKiwhDph83XaGc0o0/edit?usp=sharing"",""งบพรบ!AB75"")"),657500)</f>
        <v>657500</v>
      </c>
      <c r="N58" s="92">
        <f ca="1">IFERROR(__xludf.DUMMYFUNCTION("IMPORTRANGE(""https://docs.google.com/spreadsheets/d/1MeEWN-I1oV_STSDYn1IFDPWt_1FKiwhDph83XaGc0o0/edit?usp=sharing"",""งบพรบ!AD75"")"),657500)</f>
        <v>657500</v>
      </c>
      <c r="O58" s="92">
        <f t="shared" ca="1" si="18"/>
        <v>100.44301863733578</v>
      </c>
      <c r="P58" s="92">
        <f t="shared" ca="1" si="19"/>
        <v>100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22" t="s">
        <v>12</v>
      </c>
      <c r="I59" s="269"/>
      <c r="J59" s="269"/>
      <c r="K59" s="497"/>
      <c r="L59" s="497">
        <f ca="1">L60+L61</f>
        <v>0</v>
      </c>
      <c r="M59" s="497">
        <f ca="1">M60+M61</f>
        <v>0</v>
      </c>
      <c r="N59" s="497">
        <f ca="1">N60+N61</f>
        <v>86100</v>
      </c>
      <c r="O59" s="497">
        <f t="shared" ca="1" si="18"/>
        <v>0</v>
      </c>
      <c r="P59" s="497">
        <f t="shared" ca="1" si="19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6"/>
      <c r="J60" s="616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IFERROR(__xludf.DUMMYFUNCTION("IMPORTRANGE(""https://docs.google.com/spreadsheets/d/1MeEWN-I1oV_STSDYn1IFDPWt_1FKiwhDph83XaGc0o0/edit?usp=sharing"",""งบพรบ!Z75"")"),0)</f>
        <v>0</v>
      </c>
      <c r="M61" s="51">
        <f ca="1">IFERROR(__xludf.DUMMYFUNCTION("IMPORTRANGE(""https://docs.google.com/spreadsheets/d/1MeEWN-I1oV_STSDYn1IFDPWt_1FKiwhDph83XaGc0o0/edit?usp=sharing"",""งบพรบ!AC75"")"),0)</f>
        <v>0</v>
      </c>
      <c r="N61" s="51">
        <f ca="1">IFERROR(__xludf.DUMMYFUNCTION("IMPORTRANGE(""https://docs.google.com/spreadsheets/d/1MeEWN-I1oV_STSDYn1IFDPWt_1FKiwhDph83XaGc0o0/edit?usp=sharing"",""งบพรบ!AE75"")"),86100)</f>
        <v>86100</v>
      </c>
      <c r="O61" s="51">
        <f t="shared" ca="1" si="18"/>
        <v>0</v>
      </c>
      <c r="P61" s="51">
        <f t="shared" ca="1" si="19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1</v>
      </c>
      <c r="J64" s="143">
        <f>J76</f>
        <v>1</v>
      </c>
      <c r="K64" s="144">
        <f ca="1">IF(I64&gt;0,J64*100/I64,0)</f>
        <v>100</v>
      </c>
      <c r="L64" s="145"/>
      <c r="M64" s="145"/>
      <c r="N64" s="145"/>
      <c r="O64" s="145"/>
      <c r="P64" s="145"/>
    </row>
    <row r="65" spans="1:26" ht="19.5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30</v>
      </c>
      <c r="J65" s="143">
        <f>J77</f>
        <v>30</v>
      </c>
      <c r="K65" s="144">
        <f ca="1">IF(I65&gt;0,J65*100/I65,0)</f>
        <v>100</v>
      </c>
      <c r="L65" s="145"/>
      <c r="M65" s="145"/>
      <c r="N65" s="145"/>
      <c r="O65" s="145"/>
      <c r="P65" s="145"/>
    </row>
    <row r="66" spans="1:26" ht="19.5">
      <c r="A66" s="146"/>
      <c r="B66" s="147"/>
      <c r="C66" s="148" t="s">
        <v>16</v>
      </c>
      <c r="D66" s="846" t="s">
        <v>17</v>
      </c>
      <c r="E66" s="147"/>
      <c r="F66" s="147"/>
      <c r="G66" s="150"/>
      <c r="H66" s="151" t="s">
        <v>12</v>
      </c>
      <c r="I66" s="420"/>
      <c r="J66" s="420"/>
      <c r="K66" s="153"/>
      <c r="L66" s="154">
        <f ca="1">L67+L68</f>
        <v>688200</v>
      </c>
      <c r="M66" s="154">
        <f ca="1">M67+M68</f>
        <v>688200</v>
      </c>
      <c r="N66" s="154">
        <f ca="1">N67+N68</f>
        <v>688200</v>
      </c>
      <c r="O66" s="154">
        <f t="shared" ref="O66:O74" ca="1" si="21">IF(L66&gt;0,N66*100/L66,0)</f>
        <v>100</v>
      </c>
      <c r="P66" s="154">
        <f t="shared" ref="P66:P74" ca="1" si="22">IF(M66&gt;0,N66*100/M66,0)</f>
        <v>100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6"/>
      <c r="J67" s="616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6"/>
      <c r="J68" s="616"/>
      <c r="K68" s="92"/>
      <c r="L68" s="92">
        <f t="shared" ca="1" si="23"/>
        <v>688200</v>
      </c>
      <c r="M68" s="92">
        <f t="shared" ca="1" si="23"/>
        <v>688200</v>
      </c>
      <c r="N68" s="92">
        <f t="shared" ca="1" si="23"/>
        <v>688200</v>
      </c>
      <c r="O68" s="92">
        <f t="shared" ca="1" si="21"/>
        <v>100</v>
      </c>
      <c r="P68" s="92">
        <f t="shared" ca="1" si="22"/>
        <v>100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688200</v>
      </c>
      <c r="M69" s="497">
        <f ca="1">M70+M71</f>
        <v>688200</v>
      </c>
      <c r="N69" s="497">
        <f ca="1">N70+N71</f>
        <v>688200</v>
      </c>
      <c r="O69" s="497">
        <f t="shared" ca="1" si="21"/>
        <v>100</v>
      </c>
      <c r="P69" s="497">
        <f t="shared" ca="1" si="22"/>
        <v>100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IFERROR(__xludf.DUMMYFUNCTION("IMPORTRANGE(""https://docs.google.com/spreadsheets/d/1MeEWN-I1oV_STSDYn1IFDPWt_1FKiwhDph83XaGc0o0/edit?usp=sharing"",""งบพรบ!AG75"")"),688200)</f>
        <v>688200</v>
      </c>
      <c r="M71" s="92">
        <f ca="1">IFERROR(__xludf.DUMMYFUNCTION("IMPORTRANGE(""https://docs.google.com/spreadsheets/d/1MeEWN-I1oV_STSDYn1IFDPWt_1FKiwhDph83XaGc0o0/edit?usp=sharing"",""งบพรบ!AL75"")"),688200)</f>
        <v>688200</v>
      </c>
      <c r="N71" s="92">
        <f ca="1">IFERROR(__xludf.DUMMYFUNCTION("IMPORTRANGE(""https://docs.google.com/spreadsheets/d/1MeEWN-I1oV_STSDYn1IFDPWt_1FKiwhDph83XaGc0o0/edit?usp=sharing"",""งบพรบ!AN75"")"),688200)</f>
        <v>688200</v>
      </c>
      <c r="O71" s="92">
        <f t="shared" ca="1" si="21"/>
        <v>100</v>
      </c>
      <c r="P71" s="92">
        <f t="shared" ca="1" si="22"/>
        <v>100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IFERROR(__xludf.DUMMYFUNCTION("IMPORTRANGE(""https://docs.google.com/spreadsheets/d/1MeEWN-I1oV_STSDYn1IFDPWt_1FKiwhDph83XaGc0o0/edit?usp=sharing"",""งบพรบ!AJ75"")"),0)</f>
        <v>0</v>
      </c>
      <c r="M74" s="92">
        <f ca="1">IFERROR(__xludf.DUMMYFUNCTION("IMPORTRANGE(""https://docs.google.com/spreadsheets/d/1MeEWN-I1oV_STSDYn1IFDPWt_1FKiwhDph83XaGc0o0/edit?usp=sharing"",""งบพรบ!AM75"")"),0)</f>
        <v>0</v>
      </c>
      <c r="N74" s="92">
        <f ca="1">IFERROR(__xludf.DUMMYFUNCTION("IMPORTRANGE(""https://docs.google.com/spreadsheets/d/1MeEWN-I1oV_STSDYn1IFDPWt_1FKiwhDph83XaGc0o0/edit?usp=sharing"",""งบพรบ!AO75"")"),0)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>
      <c r="A75" s="169"/>
      <c r="B75" s="170"/>
      <c r="C75" s="163" t="s">
        <v>16</v>
      </c>
      <c r="D75" s="847" t="s">
        <v>38</v>
      </c>
      <c r="E75" s="172"/>
      <c r="F75" s="172"/>
      <c r="G75" s="173"/>
      <c r="H75" s="761"/>
      <c r="I75" s="183"/>
      <c r="J75" s="183"/>
      <c r="K75" s="162"/>
      <c r="L75" s="162"/>
      <c r="M75" s="162"/>
      <c r="N75" s="162"/>
      <c r="O75" s="162"/>
      <c r="P75" s="162"/>
    </row>
    <row r="76" spans="1:26" ht="19.5">
      <c r="A76" s="169"/>
      <c r="B76" s="170"/>
      <c r="C76" s="170"/>
      <c r="D76" s="175" t="s">
        <v>39</v>
      </c>
      <c r="E76" s="447"/>
      <c r="F76" s="177"/>
      <c r="G76" s="178"/>
      <c r="H76" s="179" t="s">
        <v>34</v>
      </c>
      <c r="I76" s="269">
        <f ca="1">I78+I80+I82</f>
        <v>1</v>
      </c>
      <c r="J76" s="269">
        <f>J78+J80+J82</f>
        <v>1</v>
      </c>
      <c r="K76" s="162">
        <f t="shared" ref="K76:K84" ca="1" si="24">IF(I76&gt;0,J76*100/I76,0)</f>
        <v>100</v>
      </c>
      <c r="L76" s="162"/>
      <c r="M76" s="162"/>
      <c r="N76" s="162"/>
      <c r="O76" s="162"/>
      <c r="P76" s="162"/>
    </row>
    <row r="77" spans="1:26" ht="19.5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30</v>
      </c>
      <c r="J77" s="269">
        <f>J79+J81+J83</f>
        <v>30</v>
      </c>
      <c r="K77" s="162">
        <f t="shared" ca="1" si="24"/>
        <v>100</v>
      </c>
      <c r="L77" s="162"/>
      <c r="M77" s="162"/>
      <c r="N77" s="162"/>
      <c r="O77" s="162"/>
      <c r="P77" s="162"/>
    </row>
    <row r="78" spans="1:26" ht="18.75">
      <c r="A78" s="169"/>
      <c r="B78" s="170"/>
      <c r="C78" s="170"/>
      <c r="D78" s="170"/>
      <c r="E78" s="447" t="s">
        <v>40</v>
      </c>
      <c r="F78" s="447"/>
      <c r="G78" s="178"/>
      <c r="H78" s="763" t="s">
        <v>34</v>
      </c>
      <c r="I78" s="183">
        <f ca="1">IFERROR(__xludf.DUMMYFUNCTION("IMPORTRANGE(""https://docs.google.com/spreadsheets/d/1QqKyyYR6Q21VydFLVH3TRQUabQu_ym0Zz7PgGX0-kHA/edit?usp=sharing"",""แผน!H75"")"),0)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>
      <c r="A79" s="169"/>
      <c r="B79" s="170"/>
      <c r="C79" s="170"/>
      <c r="D79" s="170"/>
      <c r="E79" s="177"/>
      <c r="F79" s="177"/>
      <c r="G79" s="178"/>
      <c r="H79" s="763" t="s">
        <v>35</v>
      </c>
      <c r="I79" s="183">
        <f ca="1">IFERROR(__xludf.DUMMYFUNCTION("IMPORTRANGE(""https://docs.google.com/spreadsheets/d/1QqKyyYR6Q21VydFLVH3TRQUabQu_ym0Zz7PgGX0-kHA/edit?usp=sharing"",""แผน!I75"")"),0)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>
      <c r="A80" s="169"/>
      <c r="B80" s="170"/>
      <c r="C80" s="170"/>
      <c r="D80" s="170"/>
      <c r="E80" s="447" t="s">
        <v>41</v>
      </c>
      <c r="F80" s="447"/>
      <c r="G80" s="178"/>
      <c r="H80" s="763" t="s">
        <v>34</v>
      </c>
      <c r="I80" s="183">
        <f ca="1">IFERROR(__xludf.DUMMYFUNCTION("IMPORTRANGE(""https://docs.google.com/spreadsheets/d/1QqKyyYR6Q21VydFLVH3TRQUabQu_ym0Zz7PgGX0-kHA/edit?usp=sharing"",""แผน!F75"")"),0)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>
      <c r="A81" s="169"/>
      <c r="B81" s="170"/>
      <c r="C81" s="170"/>
      <c r="D81" s="170"/>
      <c r="E81" s="177"/>
      <c r="F81" s="177"/>
      <c r="G81" s="178"/>
      <c r="H81" s="763" t="s">
        <v>35</v>
      </c>
      <c r="I81" s="183">
        <f ca="1">IFERROR(__xludf.DUMMYFUNCTION("IMPORTRANGE(""https://docs.google.com/spreadsheets/d/1QqKyyYR6Q21VydFLVH3TRQUabQu_ym0Zz7PgGX0-kHA/edit?usp=sharing"",""แผน!G75"")"),0)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>
      <c r="A82" s="169"/>
      <c r="B82" s="170"/>
      <c r="C82" s="170"/>
      <c r="D82" s="170"/>
      <c r="E82" s="447" t="s">
        <v>42</v>
      </c>
      <c r="F82" s="447"/>
      <c r="G82" s="178"/>
      <c r="H82" s="763" t="s">
        <v>34</v>
      </c>
      <c r="I82" s="183">
        <f ca="1">IFERROR(__xludf.DUMMYFUNCTION("IMPORTRANGE(""https://docs.google.com/spreadsheets/d/1QqKyyYR6Q21VydFLVH3TRQUabQu_ym0Zz7PgGX0-kHA/edit?usp=sharing"",""แผน!D75"")"),1)</f>
        <v>1</v>
      </c>
      <c r="J82" s="214">
        <v>1</v>
      </c>
      <c r="K82" s="162">
        <f t="shared" ca="1" si="24"/>
        <v>100</v>
      </c>
      <c r="L82" s="162"/>
      <c r="M82" s="162"/>
      <c r="N82" s="162"/>
      <c r="O82" s="162"/>
      <c r="P82" s="162"/>
    </row>
    <row r="83" spans="1:26" ht="18.75">
      <c r="A83" s="169"/>
      <c r="B83" s="170"/>
      <c r="C83" s="170"/>
      <c r="D83" s="170"/>
      <c r="E83" s="177"/>
      <c r="F83" s="177"/>
      <c r="G83" s="178"/>
      <c r="H83" s="763" t="s">
        <v>35</v>
      </c>
      <c r="I83" s="183">
        <f ca="1">IFERROR(__xludf.DUMMYFUNCTION("IMPORTRANGE(""https://docs.google.com/spreadsheets/d/1QqKyyYR6Q21VydFLVH3TRQUabQu_ym0Zz7PgGX0-kHA/edit?usp=sharing"",""แผน!E75"")"),30)</f>
        <v>30</v>
      </c>
      <c r="J83" s="214">
        <v>30</v>
      </c>
      <c r="K83" s="162">
        <f t="shared" ca="1" si="24"/>
        <v>100</v>
      </c>
      <c r="L83" s="162"/>
      <c r="M83" s="162"/>
      <c r="N83" s="162"/>
      <c r="O83" s="162"/>
      <c r="P83" s="162"/>
    </row>
    <row r="84" spans="1:26" ht="18.75">
      <c r="A84" s="169"/>
      <c r="B84" s="170"/>
      <c r="C84" s="170"/>
      <c r="D84" s="175" t="s">
        <v>43</v>
      </c>
      <c r="E84" s="447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IFERROR(__xludf.DUMMYFUNCTION("IMPORTRANGE(""https://docs.google.com/spreadsheets/d/1QqKyyYR6Q21VydFLVH3TRQUabQu_ym0Zz7PgGX0-kHA/edit?usp=sharing"",""แผน!J75"")"),1)</f>
        <v>1</v>
      </c>
      <c r="J84" s="214">
        <v>1</v>
      </c>
      <c r="K84" s="162">
        <f t="shared" ca="1" si="24"/>
        <v>100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46" t="s">
        <v>17</v>
      </c>
      <c r="E88" s="147"/>
      <c r="F88" s="147"/>
      <c r="G88" s="150"/>
      <c r="H88" s="151" t="s">
        <v>12</v>
      </c>
      <c r="I88" s="420"/>
      <c r="J88" s="420"/>
      <c r="K88" s="153"/>
      <c r="L88" s="154">
        <f ca="1">L89+L90</f>
        <v>85840</v>
      </c>
      <c r="M88" s="154">
        <f ca="1">M89+M90</f>
        <v>85840</v>
      </c>
      <c r="N88" s="154">
        <f ca="1">N89+N90</f>
        <v>85840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6"/>
      <c r="J89" s="616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6"/>
      <c r="J90" s="616"/>
      <c r="K90" s="92"/>
      <c r="L90" s="92">
        <f t="shared" ca="1" si="27"/>
        <v>85840</v>
      </c>
      <c r="M90" s="92">
        <f t="shared" ca="1" si="27"/>
        <v>85840</v>
      </c>
      <c r="N90" s="92">
        <f t="shared" ca="1" si="27"/>
        <v>85840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85840</v>
      </c>
      <c r="M91" s="497">
        <f ca="1">M92+M93</f>
        <v>85840</v>
      </c>
      <c r="N91" s="497">
        <f ca="1">N92+N93</f>
        <v>85840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IFERROR(__xludf.DUMMYFUNCTION("IMPORTRANGE(""https://docs.google.com/spreadsheets/d/1MeEWN-I1oV_STSDYn1IFDPWt_1FKiwhDph83XaGc0o0/edit?usp=sharing"",""งบพรบ!AQ75"")"),85840)</f>
        <v>85840</v>
      </c>
      <c r="M93" s="92">
        <f ca="1">IFERROR(__xludf.DUMMYFUNCTION("IMPORTRANGE(""https://docs.google.com/spreadsheets/d/1MeEWN-I1oV_STSDYn1IFDPWt_1FKiwhDph83XaGc0o0/edit?usp=sharing"",""งบพรบ!AV75"")"),85840)</f>
        <v>85840</v>
      </c>
      <c r="N93" s="92">
        <f ca="1">IFERROR(__xludf.DUMMYFUNCTION("IMPORTRANGE(""https://docs.google.com/spreadsheets/d/1MeEWN-I1oV_STSDYn1IFDPWt_1FKiwhDph83XaGc0o0/edit?usp=sharing"",""งบพรบ!AX75"")"),85840)</f>
        <v>85840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IFERROR(__xludf.DUMMYFUNCTION("IMPORTRANGE(""https://docs.google.com/spreadsheets/d/1MeEWN-I1oV_STSDYn1IFDPWt_1FKiwhDph83XaGc0o0/edit?usp=sharing"",""งบพรบ!AT75"")"),0)</f>
        <v>0</v>
      </c>
      <c r="M96" s="92">
        <f ca="1">IFERROR(__xludf.DUMMYFUNCTION("IMPORTRANGE(""https://docs.google.com/spreadsheets/d/1MeEWN-I1oV_STSDYn1IFDPWt_1FKiwhDph83XaGc0o0/edit?usp=sharing"",""งบพรบ!AW75"")"),0)</f>
        <v>0</v>
      </c>
      <c r="N96" s="92">
        <f ca="1">IFERROR(__xludf.DUMMYFUNCTION("IMPORTRANGE(""https://docs.google.com/spreadsheets/d/1MeEWN-I1oV_STSDYn1IFDPWt_1FKiwhDph83XaGc0o0/edit?usp=sharing"",""งบพรบ!AY75"")"),0)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47" t="s">
        <v>38</v>
      </c>
      <c r="E97" s="172"/>
      <c r="F97" s="172"/>
      <c r="G97" s="173"/>
      <c r="H97" s="761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7" t="s">
        <v>47</v>
      </c>
      <c r="E98" s="447"/>
      <c r="F98" s="177"/>
      <c r="G98" s="178"/>
      <c r="H98" s="622" t="s">
        <v>46</v>
      </c>
      <c r="I98" s="269">
        <f ca="1">IFERROR(__xludf.DUMMYFUNCTION("IMPORTRANGE(""https://docs.google.com/spreadsheets/d/1QqKyyYR6Q21VydFLVH3TRQUabQu_ym0Zz7PgGX0-kHA/edit?usp=sharing"",""แผน!K75"")"),30)</f>
        <v>30</v>
      </c>
      <c r="J98" s="269">
        <f>J102</f>
        <v>30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7" t="s">
        <v>48</v>
      </c>
      <c r="E99" s="447"/>
      <c r="F99" s="177"/>
      <c r="G99" s="178"/>
      <c r="H99" s="622" t="s">
        <v>35</v>
      </c>
      <c r="I99" s="269">
        <f ca="1">IFERROR(__xludf.DUMMYFUNCTION("IMPORTRANGE(""https://docs.google.com/spreadsheets/d/1QqKyyYR6Q21VydFLVH3TRQUabQu_ym0Zz7PgGX0-kHA/edit?usp=sharing"",""แผน!L75"")"),10)</f>
        <v>10</v>
      </c>
      <c r="J99" s="269">
        <f>J104</f>
        <v>10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22" t="s">
        <v>49</v>
      </c>
      <c r="I100" s="269">
        <f ca="1">IFERROR(__xludf.DUMMYFUNCTION("IMPORTRANGE(""https://docs.google.com/spreadsheets/d/1QqKyyYR6Q21VydFLVH3TRQUabQu_ym0Zz7PgGX0-kHA/edit?usp=sharing"",""แผน!M75"")"),2)</f>
        <v>2</v>
      </c>
      <c r="J100" s="269">
        <f>J107+J110</f>
        <v>2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22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5" t="s">
        <v>47</v>
      </c>
      <c r="F102" s="177"/>
      <c r="G102" s="178"/>
      <c r="H102" s="622" t="s">
        <v>46</v>
      </c>
      <c r="I102" s="269">
        <f ca="1">IFERROR(__xludf.DUMMYFUNCTION("IMPORTRANGE(""https://docs.google.com/spreadsheets/d/1QqKyyYR6Q21VydFLVH3TRQUabQu_ym0Zz7PgGX0-kHA/edit?usp=sharing"",""แผน!N75"")"),30)</f>
        <v>30</v>
      </c>
      <c r="J102" s="214">
        <v>30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7" t="s">
        <v>51</v>
      </c>
      <c r="F103" s="177"/>
      <c r="G103" s="178"/>
      <c r="H103" s="622" t="s">
        <v>35</v>
      </c>
      <c r="I103" s="269">
        <f ca="1">IFERROR(__xludf.DUMMYFUNCTION("IMPORTRANGE(""https://docs.google.com/spreadsheets/d/1QqKyyYR6Q21VydFLVH3TRQUabQu_ym0Zz7PgGX0-kHA/edit?usp=sharing"",""แผน!O75"")"),10)</f>
        <v>10</v>
      </c>
      <c r="J103" s="214">
        <v>10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22" t="s">
        <v>35</v>
      </c>
      <c r="I104" s="269">
        <f ca="1">IFERROR(__xludf.DUMMYFUNCTION("IMPORTRANGE(""https://docs.google.com/spreadsheets/d/1QqKyyYR6Q21VydFLVH3TRQUabQu_ym0Zz7PgGX0-kHA/edit?usp=sharing"",""แผน!O75"")"),10)</f>
        <v>10</v>
      </c>
      <c r="J104" s="214">
        <v>10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7" t="s">
        <v>54</v>
      </c>
      <c r="F106" s="177"/>
      <c r="G106" s="178"/>
      <c r="H106" s="622" t="s">
        <v>49</v>
      </c>
      <c r="I106" s="269">
        <f ca="1">IFERROR(__xludf.DUMMYFUNCTION("IMPORTRANGE(""https://docs.google.com/spreadsheets/d/1QqKyyYR6Q21VydFLVH3TRQUabQu_ym0Zz7PgGX0-kHA/edit?usp=sharing"",""แผน!P75"")"),1)</f>
        <v>1</v>
      </c>
      <c r="J106" s="21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22" t="s">
        <v>49</v>
      </c>
      <c r="I107" s="269">
        <f ca="1">IFERROR(__xludf.DUMMYFUNCTION("IMPORTRANGE(""https://docs.google.com/spreadsheets/d/1QqKyyYR6Q21VydFLVH3TRQUabQu_ym0Zz7PgGX0-kHA/edit?usp=sharing"",""แผน!P75"")"),1)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7" t="s">
        <v>57</v>
      </c>
      <c r="F109" s="177"/>
      <c r="G109" s="178"/>
      <c r="H109" s="622" t="s">
        <v>49</v>
      </c>
      <c r="I109" s="269">
        <f ca="1">IFERROR(__xludf.DUMMYFUNCTION("IMPORTRANGE(""https://docs.google.com/spreadsheets/d/1QqKyyYR6Q21VydFLVH3TRQUabQu_ym0Zz7PgGX0-kHA/edit?usp=sharing"",""แผน!Q75"")"),1)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22" t="s">
        <v>49</v>
      </c>
      <c r="I110" s="269">
        <f ca="1">IFERROR(__xludf.DUMMYFUNCTION("IMPORTRANGE(""https://docs.google.com/spreadsheets/d/1QqKyyYR6Q21VydFLVH3TRQUabQu_ym0Zz7PgGX0-kHA/edit?usp=sharing"",""แผน!Q75"")"),1)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6" t="s">
        <v>35</v>
      </c>
      <c r="I111" s="192">
        <f ca="1">IFERROR(__xludf.DUMMYFUNCTION("IMPORTRANGE(""https://docs.google.com/spreadsheets/d/1QqKyyYR6Q21VydFLVH3TRQUabQu_ym0Zz7PgGX0-kHA/edit?usp=sharing"",""แผน!R75"")"),10)</f>
        <v>10</v>
      </c>
      <c r="J111" s="680">
        <f>J114</f>
        <v>10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2</v>
      </c>
      <c r="J112" s="680">
        <f>J115+J116</f>
        <v>2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31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IFERROR(__xludf.DUMMYFUNCTION("IMPORTRANGE(""https://docs.google.com/spreadsheets/d/1QqKyyYR6Q21VydFLVH3TRQUabQu_ym0Zz7PgGX0-kHA/edit?usp=sharing"",""แผน!R75"")"),10)</f>
        <v>10</v>
      </c>
      <c r="J113" s="214">
        <v>10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7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IFERROR(__xludf.DUMMYFUNCTION("IMPORTRANGE(""https://docs.google.com/spreadsheets/d/1QqKyyYR6Q21VydFLVH3TRQUabQu_ym0Zz7PgGX0-kHA/edit?usp=sharing"",""แผน!R75"")"),10)</f>
        <v>10</v>
      </c>
      <c r="J114" s="214">
        <v>10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7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IFERROR(__xludf.DUMMYFUNCTION("IMPORTRANGE(""https://docs.google.com/spreadsheets/d/1QqKyyYR6Q21VydFLVH3TRQUabQu_ym0Zz7PgGX0-kHA/edit?usp=sharing"",""แผน!S75"")"),1)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7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IFERROR(__xludf.DUMMYFUNCTION("IMPORTRANGE(""https://docs.google.com/spreadsheets/d/1QqKyyYR6Q21VydFLVH3TRQUabQu_ym0Zz7PgGX0-kHA/edit?usp=sharing"",""แผน!T75"")"),1)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46" t="s">
        <v>17</v>
      </c>
      <c r="E119" s="147"/>
      <c r="F119" s="147"/>
      <c r="G119" s="150"/>
      <c r="H119" s="151" t="s">
        <v>12</v>
      </c>
      <c r="I119" s="420"/>
      <c r="J119" s="420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6"/>
      <c r="J120" s="616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6"/>
      <c r="J121" s="616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IFERROR(__xludf.DUMMYFUNCTION("IMPORTRANGE(""https://docs.google.com/spreadsheets/d/1MeEWN-I1oV_STSDYn1IFDPWt_1FKiwhDph83XaGc0o0/edit?usp=sharing"",""งบพรบ!BA75"")"),0)</f>
        <v>0</v>
      </c>
      <c r="M124" s="92">
        <f ca="1">IFERROR(__xludf.DUMMYFUNCTION("IMPORTRANGE(""https://docs.google.com/spreadsheets/d/1MeEWN-I1oV_STSDYn1IFDPWt_1FKiwhDph83XaGc0o0/edit?usp=sharing"",""งบพรบ!BF75"")"),0)</f>
        <v>0</v>
      </c>
      <c r="N124" s="92">
        <f ca="1">IFERROR(__xludf.DUMMYFUNCTION("IMPORTRANGE(""https://docs.google.com/spreadsheets/d/1MeEWN-I1oV_STSDYn1IFDPWt_1FKiwhDph83XaGc0o0/edit?usp=sharing"",""งบพรบ!BH75"")"),0)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IFERROR(__xludf.DUMMYFUNCTION("IMPORTRANGE(""https://docs.google.com/spreadsheets/d/1MeEWN-I1oV_STSDYn1IFDPWt_1FKiwhDph83XaGc0o0/edit?usp=sharing"",""งบพรบ!BD75"")"),0)</f>
        <v>0</v>
      </c>
      <c r="M127" s="92">
        <f ca="1">IFERROR(__xludf.DUMMYFUNCTION("IMPORTRANGE(""https://docs.google.com/spreadsheets/d/1MeEWN-I1oV_STSDYn1IFDPWt_1FKiwhDph83XaGc0o0/edit?usp=sharing"",""งบพรบ!BG75"")"),0)</f>
        <v>0</v>
      </c>
      <c r="N127" s="92">
        <f ca="1">IFERROR(__xludf.DUMMYFUNCTION("IMPORTRANGE(""https://docs.google.com/spreadsheets/d/1MeEWN-I1oV_STSDYn1IFDPWt_1FKiwhDph83XaGc0o0/edit?usp=sharing"",""งบพรบ!BI75"")"),0)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46" t="s">
        <v>17</v>
      </c>
      <c r="E132" s="147"/>
      <c r="F132" s="147"/>
      <c r="G132" s="150"/>
      <c r="H132" s="151" t="s">
        <v>12</v>
      </c>
      <c r="I132" s="420"/>
      <c r="J132" s="420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6"/>
      <c r="J133" s="616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6"/>
      <c r="J134" s="616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IFERROR(__xludf.DUMMYFUNCTION("IMPORTRANGE(""https://docs.google.com/spreadsheets/d/1MeEWN-I1oV_STSDYn1IFDPWt_1FKiwhDph83XaGc0o0/edit?usp=sharing"",""งบพรบ!BK75"")"),0)</f>
        <v>0</v>
      </c>
      <c r="M137" s="92">
        <f ca="1">IFERROR(__xludf.DUMMYFUNCTION("IMPORTRANGE(""https://docs.google.com/spreadsheets/d/1MeEWN-I1oV_STSDYn1IFDPWt_1FKiwhDph83XaGc0o0/edit?usp=sharing"",""งบพรบ!BP75"")"),0)</f>
        <v>0</v>
      </c>
      <c r="N137" s="92">
        <f ca="1">IFERROR(__xludf.DUMMYFUNCTION("IMPORTRANGE(""https://docs.google.com/spreadsheets/d/1MeEWN-I1oV_STSDYn1IFDPWt_1FKiwhDph83XaGc0o0/edit?usp=sharing"",""งบพรบ!BR75"")"),0)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IFERROR(__xludf.DUMMYFUNCTION("IMPORTRANGE(""https://docs.google.com/spreadsheets/d/1MeEWN-I1oV_STSDYn1IFDPWt_1FKiwhDph83XaGc0o0/edit?usp=sharing"",""งบพรบ!BN75"")"),0)</f>
        <v>0</v>
      </c>
      <c r="M140" s="92">
        <f ca="1">IFERROR(__xludf.DUMMYFUNCTION("IMPORTRANGE(""https://docs.google.com/spreadsheets/d/1MeEWN-I1oV_STSDYn1IFDPWt_1FKiwhDph83XaGc0o0/edit?usp=sharing"",""งบพรบ!BQ75"")"),0)</f>
        <v>0</v>
      </c>
      <c r="N140" s="92">
        <f ca="1">IFERROR(__xludf.DUMMYFUNCTION("IMPORTRANGE(""https://docs.google.com/spreadsheets/d/1MeEWN-I1oV_STSDYn1IFDPWt_1FKiwhDph83XaGc0o0/edit?usp=sharing"",""งบพรบ!BS75"")"),0)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4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IFERROR(__xludf.DUMMYFUNCTION("IMPORTRANGE(""https://docs.google.com/spreadsheets/d/1QqKyyYR6Q21VydFLVH3TRQUabQu_ym0Zz7PgGX0-kHA/edit?usp=sharing"",""แผน!U75"")"),0)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IFERROR(__xludf.DUMMYFUNCTION("IMPORTRANGE(""https://docs.google.com/spreadsheets/d/1QqKyyYR6Q21VydFLVH3TRQUabQu_ym0Zz7PgGX0-kHA/edit?usp=sharing"",""แผน!V75"")"),0)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IFERROR(__xludf.DUMMYFUNCTION("IMPORTRANGE(""https://docs.google.com/spreadsheets/d/1QqKyyYR6Q21VydFLVH3TRQUabQu_ym0Zz7PgGX0-kHA/edit?usp=sharing"",""แผน!W75"")"),0)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59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46" t="s">
        <v>17</v>
      </c>
      <c r="E149" s="147"/>
      <c r="F149" s="147"/>
      <c r="G149" s="150"/>
      <c r="H149" s="151" t="s">
        <v>12</v>
      </c>
      <c r="I149" s="420"/>
      <c r="J149" s="420"/>
      <c r="K149" s="153"/>
      <c r="L149" s="154">
        <f ca="1">L150+L151</f>
        <v>0</v>
      </c>
      <c r="M149" s="154">
        <f ca="1">M150+M151</f>
        <v>16980</v>
      </c>
      <c r="N149" s="154">
        <f ca="1">N150+N151</f>
        <v>16980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6"/>
      <c r="J150" s="616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6"/>
      <c r="J151" s="616"/>
      <c r="K151" s="92"/>
      <c r="L151" s="92">
        <f t="shared" ca="1" si="37"/>
        <v>0</v>
      </c>
      <c r="M151" s="92">
        <f t="shared" ca="1" si="37"/>
        <v>16980</v>
      </c>
      <c r="N151" s="92">
        <f t="shared" ca="1" si="37"/>
        <v>16980</v>
      </c>
      <c r="O151" s="92">
        <f t="shared" ca="1" si="35"/>
        <v>0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16980</v>
      </c>
      <c r="N152" s="497">
        <f ca="1">N153+N154</f>
        <v>16980</v>
      </c>
      <c r="O152" s="497">
        <f t="shared" ca="1" si="35"/>
        <v>0</v>
      </c>
      <c r="P152" s="497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IFERROR(__xludf.DUMMYFUNCTION("IMPORTRANGE(""https://docs.google.com/spreadsheets/d/1MeEWN-I1oV_STSDYn1IFDPWt_1FKiwhDph83XaGc0o0/edit?usp=sharing"",""งบพรบ!BU75"")"),0)</f>
        <v>0</v>
      </c>
      <c r="M154" s="92">
        <f ca="1">IFERROR(__xludf.DUMMYFUNCTION("IMPORTRANGE(""https://docs.google.com/spreadsheets/d/1MeEWN-I1oV_STSDYn1IFDPWt_1FKiwhDph83XaGc0o0/edit?usp=sharing"",""งบพรบ!BZ75"")"),16980)</f>
        <v>16980</v>
      </c>
      <c r="N154" s="92">
        <f ca="1">IFERROR(__xludf.DUMMYFUNCTION("IMPORTRANGE(""https://docs.google.com/spreadsheets/d/1MeEWN-I1oV_STSDYn1IFDPWt_1FKiwhDph83XaGc0o0/edit?usp=sharing"",""งบพรบ!CB75"")"),16980)</f>
        <v>16980</v>
      </c>
      <c r="O154" s="92">
        <f t="shared" ca="1" si="35"/>
        <v>0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IFERROR(__xludf.DUMMYFUNCTION("IMPORTRANGE(""https://docs.google.com/spreadsheets/d/1MeEWN-I1oV_STSDYn1IFDPWt_1FKiwhDph83XaGc0o0/edit?usp=sharing"",""งบพรบ!BX75"")"),0)</f>
        <v>0</v>
      </c>
      <c r="M157" s="92">
        <f ca="1">IFERROR(__xludf.DUMMYFUNCTION("IMPORTRANGE(""https://docs.google.com/spreadsheets/d/1MeEWN-I1oV_STSDYn1IFDPWt_1FKiwhDph83XaGc0o0/edit?usp=sharing"",""งบพรบ!CA75"")"),0)</f>
        <v>0</v>
      </c>
      <c r="N157" s="92">
        <f ca="1">IFERROR(__xludf.DUMMYFUNCTION("IMPORTRANGE(""https://docs.google.com/spreadsheets/d/1MeEWN-I1oV_STSDYn1IFDPWt_1FKiwhDph83XaGc0o0/edit?usp=sharing"",""งบพรบ!CC75"")"),0)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4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IFERROR(__xludf.DUMMYFUNCTION("IMPORTRANGE(""https://docs.google.com/spreadsheets/d/1QqKyyYR6Q21VydFLVH3TRQUabQu_ym0Zz7PgGX0-kHA/edit?usp=sharing"",""แผน!X75"")"),0)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6"/>
      <c r="J160" s="616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58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 hidden="1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857">
        <f ca="1">I174+I177</f>
        <v>0</v>
      </c>
      <c r="J164" s="857">
        <f>J174+J177</f>
        <v>0</v>
      </c>
      <c r="K164" s="254">
        <f ca="1">IF(I164&gt;0,J164*100/I164,0)</f>
        <v>0</v>
      </c>
      <c r="L164" s="254"/>
      <c r="M164" s="254"/>
      <c r="N164" s="254"/>
      <c r="O164" s="254"/>
      <c r="P164" s="254"/>
    </row>
    <row r="165" spans="1:26" ht="19.5" hidden="1">
      <c r="A165" s="146"/>
      <c r="B165" s="147"/>
      <c r="C165" s="148" t="s">
        <v>16</v>
      </c>
      <c r="D165" s="846" t="s">
        <v>17</v>
      </c>
      <c r="E165" s="147"/>
      <c r="F165" s="147"/>
      <c r="G165" s="150"/>
      <c r="H165" s="151" t="s">
        <v>12</v>
      </c>
      <c r="I165" s="420"/>
      <c r="J165" s="420"/>
      <c r="K165" s="153"/>
      <c r="L165" s="153">
        <f ca="1">L166+L167</f>
        <v>0</v>
      </c>
      <c r="M165" s="153">
        <f ca="1">M166+M167</f>
        <v>28000</v>
      </c>
      <c r="N165" s="153">
        <f ca="1">N166+N167</f>
        <v>28000</v>
      </c>
      <c r="O165" s="153">
        <f t="shared" ref="O165:O173" ca="1" si="38">IF(L165&gt;0,N165*100/L165,0)</f>
        <v>0</v>
      </c>
      <c r="P165" s="153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6"/>
      <c r="J166" s="616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6"/>
      <c r="J167" s="616"/>
      <c r="K167" s="92"/>
      <c r="L167" s="92">
        <f t="shared" ca="1" si="40"/>
        <v>0</v>
      </c>
      <c r="M167" s="92">
        <f t="shared" ca="1" si="40"/>
        <v>28000</v>
      </c>
      <c r="N167" s="92">
        <f t="shared" ca="1" si="40"/>
        <v>28000</v>
      </c>
      <c r="O167" s="92">
        <f t="shared" ca="1" si="38"/>
        <v>0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 hidden="1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0</v>
      </c>
      <c r="M168" s="497">
        <f ca="1">M169+M170</f>
        <v>28000</v>
      </c>
      <c r="N168" s="497">
        <f ca="1">N169+N170</f>
        <v>28000</v>
      </c>
      <c r="O168" s="497">
        <f t="shared" ca="1" si="38"/>
        <v>0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IFERROR(__xludf.DUMMYFUNCTION("IMPORTRANGE(""https://docs.google.com/spreadsheets/d/1MeEWN-I1oV_STSDYn1IFDPWt_1FKiwhDph83XaGc0o0/edit?usp=sharing"",""งบพรบ!CE75"")"),0)</f>
        <v>0</v>
      </c>
      <c r="M170" s="92">
        <f ca="1">IFERROR(__xludf.DUMMYFUNCTION("IMPORTRANGE(""https://docs.google.com/spreadsheets/d/1MeEWN-I1oV_STSDYn1IFDPWt_1FKiwhDph83XaGc0o0/edit?usp=sharing"",""งบพรบ!CJ75"")"),28000)</f>
        <v>28000</v>
      </c>
      <c r="N170" s="92">
        <f ca="1">IFERROR(__xludf.DUMMYFUNCTION("IMPORTRANGE(""https://docs.google.com/spreadsheets/d/1MeEWN-I1oV_STSDYn1IFDPWt_1FKiwhDph83XaGc0o0/edit?usp=sharing"",""งบพรบ!CL75"")"),28000)</f>
        <v>28000</v>
      </c>
      <c r="O170" s="92">
        <f t="shared" ca="1" si="38"/>
        <v>0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 hidden="1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IFERROR(__xludf.DUMMYFUNCTION("IMPORTRANGE(""https://docs.google.com/spreadsheets/d/1MeEWN-I1oV_STSDYn1IFDPWt_1FKiwhDph83XaGc0o0/edit?usp=sharing"",""งบพรบ!CH75"")"),0)</f>
        <v>0</v>
      </c>
      <c r="M173" s="92">
        <f ca="1">IFERROR(__xludf.DUMMYFUNCTION("IMPORTRANGE(""https://docs.google.com/spreadsheets/d/1MeEWN-I1oV_STSDYn1IFDPWt_1FKiwhDph83XaGc0o0/edit?usp=sharing"",""งบพรบ!CK75"")"),0)</f>
        <v>0</v>
      </c>
      <c r="N173" s="92">
        <f ca="1">IFERROR(__xludf.DUMMYFUNCTION("IMPORTRANGE(""https://docs.google.com/spreadsheets/d/1MeEWN-I1oV_STSDYn1IFDPWt_1FKiwhDph83XaGc0o0/edit?usp=sharing"",""งบพรบ!CM75"")"),0)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 hidden="1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0</v>
      </c>
      <c r="J174" s="260">
        <f>J176</f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 hidden="1">
      <c r="A175" s="169"/>
      <c r="B175" s="170"/>
      <c r="C175" s="163" t="s">
        <v>16</v>
      </c>
      <c r="D175" s="847" t="s">
        <v>38</v>
      </c>
      <c r="E175" s="172"/>
      <c r="F175" s="172"/>
      <c r="G175" s="173"/>
      <c r="H175" s="761"/>
      <c r="I175" s="183"/>
      <c r="J175" s="183"/>
      <c r="K175" s="162"/>
      <c r="L175" s="162"/>
      <c r="M175" s="162"/>
      <c r="N175" s="162"/>
      <c r="O175" s="162"/>
      <c r="P175" s="162"/>
    </row>
    <row r="176" spans="1:26" ht="18.75" hidden="1">
      <c r="A176" s="169"/>
      <c r="B176" s="170"/>
      <c r="C176" s="170"/>
      <c r="D176" s="745" t="s">
        <v>85</v>
      </c>
      <c r="E176" s="177"/>
      <c r="F176" s="177"/>
      <c r="G176" s="178"/>
      <c r="H176" s="622" t="s">
        <v>35</v>
      </c>
      <c r="I176" s="269">
        <f ca="1">IFERROR(__xludf.DUMMYFUNCTION("IMPORTRANGE(""https://docs.google.com/spreadsheets/d/1QqKyyYR6Q21VydFLVH3TRQUabQu_ym0Zz7PgGX0-kHA/edit?usp=sharing"",""แผน!Y75"")"),0)</f>
        <v>0</v>
      </c>
      <c r="J176" s="214">
        <v>0</v>
      </c>
      <c r="K176" s="162">
        <f ca="1">IF(I176&gt;0,J176*100/I176,0)</f>
        <v>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61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10</v>
      </c>
      <c r="J180" s="252">
        <f>J225+J226</f>
        <v>10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46" t="s">
        <v>17</v>
      </c>
      <c r="E181" s="147"/>
      <c r="F181" s="147"/>
      <c r="G181" s="150"/>
      <c r="H181" s="151" t="s">
        <v>12</v>
      </c>
      <c r="I181" s="420"/>
      <c r="J181" s="420"/>
      <c r="K181" s="153"/>
      <c r="L181" s="154">
        <f ca="1">L182+L183</f>
        <v>60500</v>
      </c>
      <c r="M181" s="154">
        <f ca="1">M182+M183</f>
        <v>77660</v>
      </c>
      <c r="N181" s="154">
        <f ca="1">N182+N183</f>
        <v>77660</v>
      </c>
      <c r="O181" s="154">
        <f t="shared" ref="O181:O189" ca="1" si="41">IF(L181&gt;0,N181*100/L181,0)</f>
        <v>128.36363636363637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6"/>
      <c r="J182" s="616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6"/>
      <c r="J183" s="616"/>
      <c r="K183" s="92"/>
      <c r="L183" s="92">
        <f t="shared" ca="1" si="43"/>
        <v>60500</v>
      </c>
      <c r="M183" s="92">
        <f t="shared" ca="1" si="43"/>
        <v>77660</v>
      </c>
      <c r="N183" s="92">
        <f t="shared" ca="1" si="43"/>
        <v>77660</v>
      </c>
      <c r="O183" s="92">
        <f t="shared" ca="1" si="41"/>
        <v>128.36363636363637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60500</v>
      </c>
      <c r="M184" s="497">
        <f ca="1">M185+M186</f>
        <v>77660</v>
      </c>
      <c r="N184" s="497">
        <f ca="1">N185+N186</f>
        <v>77660</v>
      </c>
      <c r="O184" s="497">
        <f t="shared" ca="1" si="41"/>
        <v>128.36363636363637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IFERROR(__xludf.DUMMYFUNCTION("IMPORTRANGE(""https://docs.google.com/spreadsheets/d/1MeEWN-I1oV_STSDYn1IFDPWt_1FKiwhDph83XaGc0o0/edit?usp=sharing"",""งบพรบ!CO75"")"),60500)</f>
        <v>60500</v>
      </c>
      <c r="M186" s="92">
        <f ca="1">IFERROR(__xludf.DUMMYFUNCTION("IMPORTRANGE(""https://docs.google.com/spreadsheets/d/1MeEWN-I1oV_STSDYn1IFDPWt_1FKiwhDph83XaGc0o0/edit?usp=sharing"",""งบพรบ!CT75"")"),77660)</f>
        <v>77660</v>
      </c>
      <c r="N186" s="92">
        <f ca="1">IFERROR(__xludf.DUMMYFUNCTION("IMPORTRANGE(""https://docs.google.com/spreadsheets/d/1MeEWN-I1oV_STSDYn1IFDPWt_1FKiwhDph83XaGc0o0/edit?usp=sharing"",""งบพรบ!CV75"")"),77660)</f>
        <v>77660</v>
      </c>
      <c r="O186" s="92">
        <f t="shared" ca="1" si="41"/>
        <v>128.36363636363637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IFERROR(__xludf.DUMMYFUNCTION("IMPORTRANGE(""https://docs.google.com/spreadsheets/d/1MeEWN-I1oV_STSDYn1IFDPWt_1FKiwhDph83XaGc0o0/edit?usp=sharing"",""งบพรบ!CR75"")"),0)</f>
        <v>0</v>
      </c>
      <c r="M189" s="92">
        <f ca="1">IFERROR(__xludf.DUMMYFUNCTION("IMPORTRANGE(""https://docs.google.com/spreadsheets/d/1MeEWN-I1oV_STSDYn1IFDPWt_1FKiwhDph83XaGc0o0/edit?usp=sharing"",""งบพรบ!CU75"")"),0)</f>
        <v>0</v>
      </c>
      <c r="N189" s="92">
        <f ca="1">IFERROR(__xludf.DUMMYFUNCTION("IMPORTRANGE(""https://docs.google.com/spreadsheets/d/1MeEWN-I1oV_STSDYn1IFDPWt_1FKiwhDph83XaGc0o0/edit?usp=sharing"",""งบพรบ!CW75"")"),0)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54" t="s">
        <v>17</v>
      </c>
      <c r="E191" s="147"/>
      <c r="F191" s="147"/>
      <c r="G191" s="150"/>
      <c r="H191" s="274" t="s">
        <v>12</v>
      </c>
      <c r="I191" s="420"/>
      <c r="J191" s="420"/>
      <c r="K191" s="153"/>
      <c r="L191" s="154">
        <f ca="1">IFERROR(__xludf.DUMMYFUNCTION("IMPORTRANGE(""https://docs.google.com/spreadsheets/d/1QqKyyYR6Q21VydFLVH3TRQUabQu_ym0Zz7PgGX0-kHA/edit?usp=sharing"",""แผน!Z75"")"),6000)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47" t="s">
        <v>38</v>
      </c>
      <c r="E192" s="172"/>
      <c r="F192" s="172"/>
      <c r="G192" s="173"/>
      <c r="H192" s="761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7" t="s">
        <v>91</v>
      </c>
      <c r="E193" s="177"/>
      <c r="F193" s="177"/>
      <c r="G193" s="178"/>
      <c r="H193" s="763" t="s">
        <v>90</v>
      </c>
      <c r="I193" s="269">
        <f ca="1">IFERROR(__xludf.DUMMYFUNCTION("IMPORTRANGE(""https://docs.google.com/spreadsheets/d/1QqKyyYR6Q21VydFLVH3TRQUabQu_ym0Zz7PgGX0-kHA/edit?usp=sharing"",""แผน!AC75"")"),4)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7" t="s">
        <v>92</v>
      </c>
      <c r="E194" s="177"/>
      <c r="F194" s="177"/>
      <c r="G194" s="178"/>
      <c r="H194" s="276" t="s">
        <v>35</v>
      </c>
      <c r="I194" s="269"/>
      <c r="J194" s="269">
        <f>J195+J196</f>
        <v>34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7" t="s">
        <v>93</v>
      </c>
      <c r="F195" s="177"/>
      <c r="G195" s="178"/>
      <c r="H195" s="276" t="s">
        <v>35</v>
      </c>
      <c r="I195" s="269"/>
      <c r="J195" s="214">
        <v>34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7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2</v>
      </c>
      <c r="J197" s="271">
        <f>J204</f>
        <v>2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54" t="s">
        <v>17</v>
      </c>
      <c r="E198" s="147"/>
      <c r="F198" s="147"/>
      <c r="G198" s="150"/>
      <c r="H198" s="274" t="s">
        <v>12</v>
      </c>
      <c r="I198" s="419"/>
      <c r="J198" s="419"/>
      <c r="K198" s="279"/>
      <c r="L198" s="154">
        <f ca="1">L199+L200+L201+L202</f>
        <v>26000</v>
      </c>
      <c r="M198" s="154"/>
      <c r="N198" s="154">
        <f>N199+N200+N201+N202</f>
        <v>26000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IFERROR(__xludf.DUMMYFUNCTION("IMPORTRANGE(""https://docs.google.com/spreadsheets/d/1QqKyyYR6Q21VydFLVH3TRQUabQu_ym0Zz7PgGX0-kHA/edit?usp=sharing"",""แผน!AE75"")"),2000)</f>
        <v>2000</v>
      </c>
      <c r="M199" s="497"/>
      <c r="N199" s="826">
        <v>1893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3"/>
      <c r="B200" s="280"/>
      <c r="C200" s="210"/>
      <c r="D200" s="281" t="s">
        <v>98</v>
      </c>
      <c r="E200" s="32"/>
      <c r="F200" s="32"/>
      <c r="G200" s="34"/>
      <c r="H200" s="622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IFERROR(__xludf.DUMMYFUNCTION("IMPORTRANGE(""https://docs.google.com/spreadsheets/d/1QqKyyYR6Q21VydFLVH3TRQUabQu_ym0Zz7PgGX0-kHA/edit?usp=sharing"",""แผน!AF75"")"),16000)</f>
        <v>16000</v>
      </c>
      <c r="M200" s="497"/>
      <c r="N200" s="826">
        <v>16017</v>
      </c>
      <c r="O200" s="497"/>
      <c r="P200" s="497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2"/>
      <c r="F201" s="32"/>
      <c r="G201" s="34"/>
      <c r="H201" s="622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IFERROR(__xludf.DUMMYFUNCTION("IMPORTRANGE(""https://docs.google.com/spreadsheets/d/1QqKyyYR6Q21VydFLVH3TRQUabQu_ym0Zz7PgGX0-kHA/edit?usp=sharing"",""แผน!AG75"")"),8000)</f>
        <v>8000</v>
      </c>
      <c r="M201" s="497"/>
      <c r="N201" s="826">
        <v>8090</v>
      </c>
      <c r="O201" s="497"/>
      <c r="P201" s="497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2"/>
      <c r="F202" s="32"/>
      <c r="G202" s="34"/>
      <c r="H202" s="622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IFERROR(__xludf.DUMMYFUNCTION("IMPORTRANGE(""https://docs.google.com/spreadsheets/d/1QqKyyYR6Q21VydFLVH3TRQUabQu_ym0Zz7PgGX0-kHA/edit?usp=sharing"",""แผน!AH75"")"),0)</f>
        <v>0</v>
      </c>
      <c r="M202" s="497"/>
      <c r="N202" s="826">
        <v>0</v>
      </c>
      <c r="O202" s="497"/>
      <c r="P202" s="497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69"/>
      <c r="B203" s="170"/>
      <c r="C203" s="210" t="s">
        <v>16</v>
      </c>
      <c r="D203" s="847" t="s">
        <v>38</v>
      </c>
      <c r="E203" s="172"/>
      <c r="F203" s="172"/>
      <c r="G203" s="173"/>
      <c r="H203" s="761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61" t="s">
        <v>96</v>
      </c>
      <c r="I204" s="269">
        <f ca="1">IFERROR(__xludf.DUMMYFUNCTION("IMPORTRANGE(""https://docs.google.com/spreadsheets/d/1QqKyyYR6Q21VydFLVH3TRQUabQu_ym0Zz7PgGX0-kHA/edit?usp=sharing"",""แผน!AI75"")"),2)</f>
        <v>2</v>
      </c>
      <c r="J204" s="214">
        <v>2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7" t="s">
        <v>59</v>
      </c>
      <c r="E205" s="177"/>
      <c r="F205" s="177"/>
      <c r="G205" s="178"/>
      <c r="H205" s="761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31" t="s">
        <v>102</v>
      </c>
      <c r="F206" s="286"/>
      <c r="G206" s="287"/>
      <c r="H206" s="288" t="s">
        <v>96</v>
      </c>
      <c r="I206" s="269">
        <v>2</v>
      </c>
      <c r="J206" s="214">
        <v>2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7"/>
      <c r="E207" s="447" t="s">
        <v>103</v>
      </c>
      <c r="F207" s="177"/>
      <c r="G207" s="177"/>
      <c r="H207" s="289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54" t="s">
        <v>17</v>
      </c>
      <c r="E209" s="147"/>
      <c r="F209" s="147"/>
      <c r="G209" s="150"/>
      <c r="H209" s="274" t="s">
        <v>12</v>
      </c>
      <c r="I209" s="419"/>
      <c r="J209" s="419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IFERROR(__xludf.DUMMYFUNCTION("IMPORTRANGE(""https://docs.google.com/spreadsheets/d/1QqKyyYR6Q21VydFLVH3TRQUabQu_ym0Zz7PgGX0-kHA/edit?usp=sharing"",""แผน!AK75"")"),0)</f>
        <v>0</v>
      </c>
      <c r="M210" s="497"/>
      <c r="N210" s="826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3"/>
      <c r="B211" s="280"/>
      <c r="C211" s="291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IFERROR(__xludf.DUMMYFUNCTION("IMPORTRANGE(""https://docs.google.com/spreadsheets/d/1QqKyyYR6Q21VydFLVH3TRQUabQu_ym0Zz7PgGX0-kHA/edit?usp=sharing"",""แผน!AL75"")"),0)</f>
        <v>0</v>
      </c>
      <c r="M211" s="497"/>
      <c r="N211" s="826">
        <v>0</v>
      </c>
      <c r="O211" s="497"/>
      <c r="P211" s="497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IFERROR(__xludf.DUMMYFUNCTION("IMPORTRANGE(""https://docs.google.com/spreadsheets/d/1QqKyyYR6Q21VydFLVH3TRQUabQu_ym0Zz7PgGX0-kHA/edit?usp=sharing"",""แผน!AM75"")"),0)</f>
        <v>0</v>
      </c>
      <c r="M212" s="497"/>
      <c r="N212" s="826">
        <v>0</v>
      </c>
      <c r="O212" s="497"/>
      <c r="P212" s="497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69"/>
      <c r="B213" s="170"/>
      <c r="C213" s="291" t="s">
        <v>16</v>
      </c>
      <c r="D213" s="847" t="s">
        <v>38</v>
      </c>
      <c r="E213" s="172"/>
      <c r="F213" s="172"/>
      <c r="G213" s="173"/>
      <c r="H213" s="761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61" t="s">
        <v>96</v>
      </c>
      <c r="I214" s="269">
        <f ca="1">IFERROR(__xludf.DUMMYFUNCTION("IMPORTRANGE(""https://docs.google.com/spreadsheets/d/1QqKyyYR6Q21VydFLVH3TRQUabQu_ym0Zz7PgGX0-kHA/edit?usp=sharing"",""แผน!AN75"")"),0)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61" t="s">
        <v>96</v>
      </c>
      <c r="I215" s="269">
        <f ca="1">IFERROR(__xludf.DUMMYFUNCTION("IMPORTRANGE(""https://docs.google.com/spreadsheets/d/1QqKyyYR6Q21VydFLVH3TRQUabQu_ym0Zz7PgGX0-kHA/edit?usp=sharing"",""แผน!AN75"")"),0)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ca="1">I224</f>
        <v>50000</v>
      </c>
      <c r="J216" s="271">
        <f>J224</f>
        <v>50000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54" t="s">
        <v>17</v>
      </c>
      <c r="E217" s="147"/>
      <c r="F217" s="147"/>
      <c r="G217" s="150"/>
      <c r="H217" s="274" t="s">
        <v>12</v>
      </c>
      <c r="I217" s="419"/>
      <c r="J217" s="419"/>
      <c r="K217" s="279"/>
      <c r="L217" s="154">
        <f ca="1">L218+L219+L220</f>
        <v>28500</v>
      </c>
      <c r="M217" s="154"/>
      <c r="N217" s="154">
        <f>N218+N219+N220</f>
        <v>28500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IFERROR(__xludf.DUMMYFUNCTION("IMPORTRANGE(""https://docs.google.com/spreadsheets/d/1QqKyyYR6Q21VydFLVH3TRQUabQu_ym0Zz7PgGX0-kHA/edit?usp=sharing"",""แผน!AP75"")"),5000)</f>
        <v>5000</v>
      </c>
      <c r="M218" s="497"/>
      <c r="N218" s="826">
        <v>5000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3"/>
      <c r="B219" s="280"/>
      <c r="C219" s="291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IFERROR(__xludf.DUMMYFUNCTION("IMPORTRANGE(""https://docs.google.com/spreadsheets/d/1QqKyyYR6Q21VydFLVH3TRQUabQu_ym0Zz7PgGX0-kHA/edit?usp=sharing"",""แผน!AQ75"")"),13500)</f>
        <v>13500</v>
      </c>
      <c r="M219" s="497"/>
      <c r="N219" s="826">
        <v>13500</v>
      </c>
      <c r="O219" s="497"/>
      <c r="P219" s="497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IFERROR(__xludf.DUMMYFUNCTION("IMPORTRANGE(""https://docs.google.com/spreadsheets/d/1QqKyyYR6Q21VydFLVH3TRQUabQu_ym0Zz7PgGX0-kHA/edit?usp=sharing"",""แผน!AR75"")"),10000)</f>
        <v>10000</v>
      </c>
      <c r="M220" s="497"/>
      <c r="N220" s="826">
        <v>10000</v>
      </c>
      <c r="O220" s="497"/>
      <c r="P220" s="497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69"/>
      <c r="B221" s="170"/>
      <c r="C221" s="291" t="s">
        <v>16</v>
      </c>
      <c r="D221" s="847" t="s">
        <v>38</v>
      </c>
      <c r="E221" s="172"/>
      <c r="F221" s="172"/>
      <c r="G221" s="173"/>
      <c r="H221" s="761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61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63" t="s">
        <v>109</v>
      </c>
      <c r="I223" s="269">
        <f ca="1">IFERROR(__xludf.DUMMYFUNCTION("IMPORTRANGE(""https://docs.google.com/spreadsheets/d/1QqKyyYR6Q21VydFLVH3TRQUabQu_ym0Zz7PgGX0-kHA/edit?usp=sharing"",""แผน!AT75"")"),50000)</f>
        <v>50000</v>
      </c>
      <c r="J223" s="214">
        <v>50000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63" t="s">
        <v>109</v>
      </c>
      <c r="I224" s="269">
        <f ca="1">IFERROR(__xludf.DUMMYFUNCTION("IMPORTRANGE(""https://docs.google.com/spreadsheets/d/1QqKyyYR6Q21VydFLVH3TRQUabQu_ym0Zz7PgGX0-kHA/edit?usp=sharing"",""แผน!AT75"")"),50000)</f>
        <v>50000</v>
      </c>
      <c r="J224" s="214">
        <v>50000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63" t="s">
        <v>35</v>
      </c>
      <c r="I225" s="269">
        <f ca="1">IFERROR(__xludf.DUMMYFUNCTION("IMPORTRANGE(""https://docs.google.com/spreadsheets/d/1QqKyyYR6Q21VydFLVH3TRQUabQu_ym0Zz7PgGX0-kHA/edit?usp=sharing"",""แผน!AS75"")"),10)</f>
        <v>10</v>
      </c>
      <c r="J225" s="214">
        <v>10</v>
      </c>
      <c r="K225" s="162">
        <f ca="1">IF(I225&gt;0,J225*100/I225,0)</f>
        <v>100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0</v>
      </c>
      <c r="J226" s="344">
        <f>J237+J248</f>
        <v>0</v>
      </c>
      <c r="K226" s="345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0</v>
      </c>
      <c r="M227" s="355"/>
      <c r="N227" s="355">
        <f>N238+N249</f>
        <v>0</v>
      </c>
      <c r="O227" s="855"/>
      <c r="P227" s="85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6"/>
      <c r="J229" s="616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6"/>
      <c r="J230" s="616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6"/>
      <c r="J231" s="616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6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6">
        <f ca="1">I244+I255</f>
        <v>0</v>
      </c>
      <c r="J233" s="616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6"/>
      <c r="J234" s="616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6">
        <f>I246+I257</f>
        <v>0</v>
      </c>
      <c r="J235" s="616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6">
        <f>I247+I258</f>
        <v>0</v>
      </c>
      <c r="J236" s="616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270" t="s">
        <v>332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46" t="s">
        <v>17</v>
      </c>
      <c r="E238" s="147"/>
      <c r="F238" s="147"/>
      <c r="G238" s="150"/>
      <c r="H238" s="274" t="s">
        <v>12</v>
      </c>
      <c r="I238" s="419"/>
      <c r="J238" s="419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IFERROR(__xludf.DUMMYFUNCTION("IMPORTRANGE(""https://docs.google.com/spreadsheets/d/1QqKyyYR6Q21VydFLVH3TRQUabQu_ym0Zz7PgGX0-kHA/edit?usp=sharing"",""แผน!AV75"")"),0)</f>
        <v>0</v>
      </c>
      <c r="M239" s="321"/>
      <c r="N239" s="853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IFERROR(__xludf.DUMMYFUNCTION("IMPORTRANGE(""https://docs.google.com/spreadsheets/d/1QqKyyYR6Q21VydFLVH3TRQUabQu_ym0Zz7PgGX0-kHA/edit?usp=sharing"",""แผน!AW75"")"),0)</f>
        <v>0</v>
      </c>
      <c r="M240" s="321"/>
      <c r="N240" s="853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IFERROR(__xludf.DUMMYFUNCTION("IMPORTRANGE(""https://docs.google.com/spreadsheets/d/1QqKyyYR6Q21VydFLVH3TRQUabQu_ym0Zz7PgGX0-kHA/edit?usp=sharing"",""แผน!AX75"")"),0)</f>
        <v>0</v>
      </c>
      <c r="M241" s="321"/>
      <c r="N241" s="853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IFERROR(__xludf.DUMMYFUNCTION("IMPORTRANGE(""https://docs.google.com/spreadsheets/d/1QqKyyYR6Q21VydFLVH3TRQUabQu_ym0Zz7PgGX0-kHA/edit?usp=sharing"",""แผน!AY75"")"),0)</f>
        <v>0</v>
      </c>
      <c r="M242" s="321"/>
      <c r="N242" s="853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1" t="s">
        <v>16</v>
      </c>
      <c r="D243" s="847" t="s">
        <v>38</v>
      </c>
      <c r="E243" s="172"/>
      <c r="F243" s="172"/>
      <c r="G243" s="173"/>
      <c r="H243" s="761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47" t="s">
        <v>117</v>
      </c>
      <c r="E244" s="177"/>
      <c r="F244" s="177"/>
      <c r="G244" s="178"/>
      <c r="H244" s="763" t="s">
        <v>35</v>
      </c>
      <c r="I244" s="269">
        <f ca="1">IFERROR(__xludf.DUMMYFUNCTION("IMPORTRANGE(""https://docs.google.com/spreadsheets/d/1QqKyyYR6Q21VydFLVH3TRQUabQu_ym0Zz7PgGX0-kHA/edit?usp=sharing"",""แผน!BE75"")"),0)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852" t="s">
        <v>43</v>
      </c>
      <c r="E245" s="177"/>
      <c r="F245" s="177"/>
      <c r="G245" s="178"/>
      <c r="H245" s="763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175" t="s">
        <v>118</v>
      </c>
      <c r="F246" s="177"/>
      <c r="G246" s="178"/>
      <c r="H246" s="763" t="s">
        <v>35</v>
      </c>
      <c r="I246" s="269"/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763" t="s">
        <v>66</v>
      </c>
      <c r="I247" s="269"/>
      <c r="J247" s="214">
        <v>0</v>
      </c>
      <c r="K247" s="497">
        <f>IF(I247&gt;0,J247*100/I247,0)</f>
        <v>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54" t="s">
        <v>17</v>
      </c>
      <c r="E249" s="147"/>
      <c r="F249" s="147"/>
      <c r="G249" s="150"/>
      <c r="H249" s="274" t="s">
        <v>12</v>
      </c>
      <c r="I249" s="419"/>
      <c r="J249" s="419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IFERROR(__xludf.DUMMYFUNCTION("IMPORTRANGE(""https://docs.google.com/spreadsheets/d/1QqKyyYR6Q21VydFLVH3TRQUabQu_ym0Zz7PgGX0-kHA/edit?usp=sharing"",""แผน!AZ75"")"),0)</f>
        <v>0</v>
      </c>
      <c r="M250" s="321"/>
      <c r="N250" s="853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IFERROR(__xludf.DUMMYFUNCTION("IMPORTRANGE(""https://docs.google.com/spreadsheets/d/1QqKyyYR6Q21VydFLVH3TRQUabQu_ym0Zz7PgGX0-kHA/edit?usp=sharing"",""แผน!BA75"")"),0)</f>
        <v>0</v>
      </c>
      <c r="M251" s="321"/>
      <c r="N251" s="853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IFERROR(__xludf.DUMMYFUNCTION("IMPORTRANGE(""https://docs.google.com/spreadsheets/d/1QqKyyYR6Q21VydFLVH3TRQUabQu_ym0Zz7PgGX0-kHA/edit?usp=sharing"",""แผน!BB75"")"),0)</f>
        <v>0</v>
      </c>
      <c r="M252" s="321"/>
      <c r="N252" s="853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IFERROR(__xludf.DUMMYFUNCTION("IMPORTRANGE(""https://docs.google.com/spreadsheets/d/1QqKyyYR6Q21VydFLVH3TRQUabQu_ym0Zz7PgGX0-kHA/edit?usp=sharing"",""แผน!BC75"")"),0)</f>
        <v>0</v>
      </c>
      <c r="M253" s="321"/>
      <c r="N253" s="853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1" t="s">
        <v>16</v>
      </c>
      <c r="D254" s="847" t="s">
        <v>38</v>
      </c>
      <c r="E254" s="172"/>
      <c r="F254" s="172"/>
      <c r="G254" s="173"/>
      <c r="H254" s="761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7" t="s">
        <v>117</v>
      </c>
      <c r="E255" s="177"/>
      <c r="F255" s="177"/>
      <c r="G255" s="178"/>
      <c r="H255" s="763" t="s">
        <v>35</v>
      </c>
      <c r="I255" s="269">
        <f ca="1">IFERROR(__xludf.DUMMYFUNCTION("IMPORTRANGE(""https://docs.google.com/spreadsheets/d/1QqKyyYR6Q21VydFLVH3TRQUabQu_ym0Zz7PgGX0-kHA/edit?usp=sharing"",""แผน!BF75"")"),0)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52" t="s">
        <v>43</v>
      </c>
      <c r="E256" s="177"/>
      <c r="F256" s="177"/>
      <c r="G256" s="178"/>
      <c r="H256" s="763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63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63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46" t="s">
        <v>17</v>
      </c>
      <c r="E261" s="147"/>
      <c r="F261" s="147"/>
      <c r="G261" s="150"/>
      <c r="H261" s="151" t="s">
        <v>12</v>
      </c>
      <c r="I261" s="420"/>
      <c r="J261" s="420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6"/>
      <c r="J262" s="616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6"/>
      <c r="J263" s="616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26900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IFERROR(__xludf.DUMMYFUNCTION("IMPORTRANGE(""https://docs.google.com/spreadsheets/d/1MeEWN-I1oV_STSDYn1IFDPWt_1FKiwhDph83XaGc0o0/edit?usp=sharing"",""งบพรบ!CY75"")"),26900)</f>
        <v>26900</v>
      </c>
      <c r="M266" s="92">
        <f ca="1">IFERROR(__xludf.DUMMYFUNCTION("IMPORTRANGE(""https://docs.google.com/spreadsheets/d/1MeEWN-I1oV_STSDYn1IFDPWt_1FKiwhDph83XaGc0o0/edit?usp=sharing"",""งบพรบ!DD75"")"),26900)</f>
        <v>26900</v>
      </c>
      <c r="N266" s="92">
        <f ca="1">IFERROR(__xludf.DUMMYFUNCTION("IMPORTRANGE(""https://docs.google.com/spreadsheets/d/1MeEWN-I1oV_STSDYn1IFDPWt_1FKiwhDph83XaGc0o0/edit?usp=sharing"",""งบพรบ!DF75"")"),26900)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IFERROR(__xludf.DUMMYFUNCTION("IMPORTRANGE(""https://docs.google.com/spreadsheets/d/1MeEWN-I1oV_STSDYn1IFDPWt_1FKiwhDph83XaGc0o0/edit?usp=sharing"",""งบพรบ!DB75"")"),0)</f>
        <v>0</v>
      </c>
      <c r="M269" s="92">
        <f ca="1">IFERROR(__xludf.DUMMYFUNCTION("IMPORTRANGE(""https://docs.google.com/spreadsheets/d/1MeEWN-I1oV_STSDYn1IFDPWt_1FKiwhDph83XaGc0o0/edit?usp=sharing"",""งบพรบ!DE75"")"),0)</f>
        <v>0</v>
      </c>
      <c r="N269" s="92">
        <f ca="1">IFERROR(__xludf.DUMMYFUNCTION("IMPORTRANGE(""https://docs.google.com/spreadsheets/d/1MeEWN-I1oV_STSDYn1IFDPWt_1FKiwhDph83XaGc0o0/edit?usp=sharing"",""งบพรบ!DG75"")"),0)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47" t="s">
        <v>38</v>
      </c>
      <c r="E270" s="172"/>
      <c r="F270" s="172"/>
      <c r="G270" s="173"/>
      <c r="H270" s="761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IFERROR(__xludf.DUMMYFUNCTION("IMPORTRANGE(""https://docs.google.com/spreadsheets/d/1QqKyyYR6Q21VydFLVH3TRQUabQu_ym0Zz7PgGX0-kHA/edit?usp=sharing"",""แผน!EA75"")"),22)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5">
        <v>0</v>
      </c>
      <c r="J272" s="505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5</v>
      </c>
      <c r="J275" s="405">
        <f ca="1">J288</f>
        <v>5</v>
      </c>
      <c r="K275" s="406">
        <f ca="1">IF(I275&gt;0,J275*100/I275,0)</f>
        <v>100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5">
        <f ca="1">I287</f>
        <v>50</v>
      </c>
      <c r="J276" s="405">
        <f>J287</f>
        <v>50</v>
      </c>
      <c r="K276" s="406">
        <f ca="1">IF(I276&gt;0,J276*100/I276,0)</f>
        <v>100</v>
      </c>
      <c r="L276" s="407"/>
      <c r="M276" s="407"/>
      <c r="N276" s="407"/>
      <c r="O276" s="407"/>
      <c r="P276" s="407"/>
    </row>
    <row r="277" spans="1:26" ht="19.5">
      <c r="A277" s="146"/>
      <c r="B277" s="147"/>
      <c r="C277" s="148" t="s">
        <v>16</v>
      </c>
      <c r="D277" s="846" t="s">
        <v>17</v>
      </c>
      <c r="E277" s="147"/>
      <c r="F277" s="147"/>
      <c r="G277" s="150"/>
      <c r="H277" s="151" t="s">
        <v>12</v>
      </c>
      <c r="I277" s="420"/>
      <c r="J277" s="420"/>
      <c r="K277" s="153"/>
      <c r="L277" s="154">
        <f ca="1">L278+L279</f>
        <v>22630</v>
      </c>
      <c r="M277" s="154">
        <f ca="1">M278+M279</f>
        <v>22630</v>
      </c>
      <c r="N277" s="154">
        <f ca="1">N278+N279</f>
        <v>22630</v>
      </c>
      <c r="O277" s="154">
        <f t="shared" ref="O277:O285" ca="1" si="47">IF(L277&gt;0,N277*100/L277,0)</f>
        <v>100</v>
      </c>
      <c r="P277" s="154">
        <f t="shared" ref="P277:P285" ca="1" si="48">IF(M277&gt;0,N277*100/M277,0)</f>
        <v>100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6"/>
      <c r="J278" s="616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6"/>
      <c r="J279" s="616"/>
      <c r="K279" s="92"/>
      <c r="L279" s="92">
        <f t="shared" ca="1" si="49"/>
        <v>22630</v>
      </c>
      <c r="M279" s="92">
        <f t="shared" ca="1" si="49"/>
        <v>22630</v>
      </c>
      <c r="N279" s="92">
        <f t="shared" ca="1" si="49"/>
        <v>22630</v>
      </c>
      <c r="O279" s="92">
        <f t="shared" ca="1" si="47"/>
        <v>100</v>
      </c>
      <c r="P279" s="92">
        <f t="shared" ca="1" si="48"/>
        <v>100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22630</v>
      </c>
      <c r="M280" s="497">
        <f ca="1">M281+M282</f>
        <v>22630</v>
      </c>
      <c r="N280" s="497">
        <f ca="1">N281+N282</f>
        <v>22630</v>
      </c>
      <c r="O280" s="497">
        <f t="shared" ca="1" si="47"/>
        <v>100</v>
      </c>
      <c r="P280" s="497">
        <f t="shared" ca="1" si="48"/>
        <v>100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IFERROR(__xludf.DUMMYFUNCTION("IMPORTRANGE(""https://docs.google.com/spreadsheets/d/1MeEWN-I1oV_STSDYn1IFDPWt_1FKiwhDph83XaGc0o0/edit?usp=sharing"",""งบพรบ!DI75"")"),22630)</f>
        <v>22630</v>
      </c>
      <c r="M282" s="92">
        <f ca="1">IFERROR(__xludf.DUMMYFUNCTION("IMPORTRANGE(""https://docs.google.com/spreadsheets/d/1MeEWN-I1oV_STSDYn1IFDPWt_1FKiwhDph83XaGc0o0/edit?usp=sharing"",""งบพรบ!DN75"")"),22630)</f>
        <v>22630</v>
      </c>
      <c r="N282" s="92">
        <f ca="1">IFERROR(__xludf.DUMMYFUNCTION("IMPORTRANGE(""https://docs.google.com/spreadsheets/d/1MeEWN-I1oV_STSDYn1IFDPWt_1FKiwhDph83XaGc0o0/edit?usp=sharing"",""งบพรบ!DP75"")"),22630)</f>
        <v>22630</v>
      </c>
      <c r="O282" s="92">
        <f t="shared" ca="1" si="47"/>
        <v>100</v>
      </c>
      <c r="P282" s="92">
        <f t="shared" ca="1" si="48"/>
        <v>100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IFERROR(__xludf.DUMMYFUNCTION("IMPORTRANGE(""https://docs.google.com/spreadsheets/d/1MeEWN-I1oV_STSDYn1IFDPWt_1FKiwhDph83XaGc0o0/edit?usp=sharing"",""งบพรบ!DL75"")"),0)</f>
        <v>0</v>
      </c>
      <c r="M285" s="92">
        <f ca="1">IFERROR(__xludf.DUMMYFUNCTION("IMPORTRANGE(""https://docs.google.com/spreadsheets/d/1MeEWN-I1oV_STSDYn1IFDPWt_1FKiwhDph83XaGc0o0/edit?usp=sharing"",""งบพรบ!DO75"")"),0)</f>
        <v>0</v>
      </c>
      <c r="N285" s="92">
        <f ca="1">IFERROR(__xludf.DUMMYFUNCTION("IMPORTRANGE(""https://docs.google.com/spreadsheets/d/1MeEWN-I1oV_STSDYn1IFDPWt_1FKiwhDph83XaGc0o0/edit?usp=sharing"",""งบพรบ!DQ75"")"),0)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47" t="s">
        <v>38</v>
      </c>
      <c r="E286" s="172"/>
      <c r="F286" s="172"/>
      <c r="G286" s="173"/>
      <c r="H286" s="761"/>
      <c r="I286" s="183"/>
      <c r="J286" s="183"/>
      <c r="K286" s="162"/>
      <c r="L286" s="162"/>
      <c r="M286" s="162"/>
      <c r="N286" s="162"/>
      <c r="O286" s="162"/>
      <c r="P286" s="162"/>
    </row>
    <row r="287" spans="1:26" ht="18.75">
      <c r="A287" s="169"/>
      <c r="B287" s="170"/>
      <c r="C287" s="170"/>
      <c r="D287" s="625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IFERROR(__xludf.DUMMYFUNCTION("IMPORTRANGE(""https://docs.google.com/spreadsheets/d/1QqKyyYR6Q21VydFLVH3TRQUabQu_ym0Zz7PgGX0-kHA/edit?usp=sharing"",""แผน!EC75"")"),50)</f>
        <v>50</v>
      </c>
      <c r="J287" s="214">
        <v>50</v>
      </c>
      <c r="K287" s="162">
        <f ca="1">IF(I287&gt;0,J287*100/I287,0)</f>
        <v>100</v>
      </c>
      <c r="L287" s="162"/>
      <c r="M287" s="162"/>
      <c r="N287" s="162"/>
      <c r="O287" s="162"/>
      <c r="P287" s="162"/>
    </row>
    <row r="288" spans="1:26" ht="19.5">
      <c r="A288" s="169"/>
      <c r="B288" s="170"/>
      <c r="C288" s="170"/>
      <c r="D288" s="625" t="s">
        <v>130</v>
      </c>
      <c r="E288" s="170"/>
      <c r="F288" s="177"/>
      <c r="G288" s="178"/>
      <c r="H288" s="179" t="s">
        <v>35</v>
      </c>
      <c r="I288" s="680">
        <f ca="1">IFERROR(__xludf.DUMMYFUNCTION("IMPORTRANGE(""https://docs.google.com/spreadsheets/d/1QqKyyYR6Q21VydFLVH3TRQUabQu_ym0Zz7PgGX0-kHA/edit?usp=sharing"",""แผน!EB75"")"),5)</f>
        <v>5</v>
      </c>
      <c r="J288" s="680">
        <f ca="1">IF(AND(J291&gt;=I288,J294&gt;=I288),J294,0)</f>
        <v>5</v>
      </c>
      <c r="K288" s="411">
        <f ca="1">IF(I288&gt;0,J288*100/I288,0)</f>
        <v>100</v>
      </c>
      <c r="L288" s="162"/>
      <c r="M288" s="162"/>
      <c r="N288" s="162"/>
      <c r="O288" s="162"/>
      <c r="P288" s="162"/>
    </row>
    <row r="289" spans="1:26" ht="19.5">
      <c r="A289" s="169"/>
      <c r="B289" s="170"/>
      <c r="C289" s="170"/>
      <c r="D289" s="412"/>
      <c r="E289" s="413" t="s">
        <v>131</v>
      </c>
      <c r="F289" s="177"/>
      <c r="G289" s="178"/>
      <c r="H289" s="763"/>
      <c r="I289" s="183"/>
      <c r="J289" s="269"/>
      <c r="K289" s="162"/>
      <c r="L289" s="162"/>
      <c r="M289" s="162"/>
      <c r="N289" s="162"/>
      <c r="O289" s="162"/>
      <c r="P289" s="162"/>
    </row>
    <row r="290" spans="1:26" ht="19.5">
      <c r="A290" s="169"/>
      <c r="B290" s="170"/>
      <c r="C290" s="170"/>
      <c r="D290" s="412"/>
      <c r="E290" s="625" t="s">
        <v>132</v>
      </c>
      <c r="F290" s="177"/>
      <c r="G290" s="178"/>
      <c r="H290" s="763" t="s">
        <v>35</v>
      </c>
      <c r="I290" s="183">
        <f ca="1">IFERROR(__xludf.DUMMYFUNCTION("IMPORTRANGE(""https://docs.google.com/spreadsheets/d/1QqKyyYR6Q21VydFLVH3TRQUabQu_ym0Zz7PgGX0-kHA/edit?usp=sharing"",""แผน!EB75"")"),5)</f>
        <v>5</v>
      </c>
      <c r="J290" s="214">
        <v>5</v>
      </c>
      <c r="K290" s="162">
        <f ca="1">IF(I290&gt;0,J290*100/I290,0)</f>
        <v>100</v>
      </c>
      <c r="L290" s="162"/>
      <c r="M290" s="162"/>
      <c r="N290" s="162"/>
      <c r="O290" s="162"/>
      <c r="P290" s="162"/>
    </row>
    <row r="291" spans="1:26" ht="19.5">
      <c r="A291" s="169"/>
      <c r="B291" s="170"/>
      <c r="C291" s="170"/>
      <c r="D291" s="177"/>
      <c r="E291" s="625" t="s">
        <v>133</v>
      </c>
      <c r="F291" s="177"/>
      <c r="G291" s="178"/>
      <c r="H291" s="763" t="s">
        <v>35</v>
      </c>
      <c r="I291" s="183">
        <f ca="1">IFERROR(__xludf.DUMMYFUNCTION("IMPORTRANGE(""https://docs.google.com/spreadsheets/d/1QqKyyYR6Q21VydFLVH3TRQUabQu_ym0Zz7PgGX0-kHA/edit?usp=sharing"",""แผน!EB75"")"),5)</f>
        <v>5</v>
      </c>
      <c r="J291" s="214">
        <v>5</v>
      </c>
      <c r="K291" s="162">
        <f ca="1">IF(I291&gt;0,J291*100/I291,0)</f>
        <v>100</v>
      </c>
      <c r="L291" s="162"/>
      <c r="M291" s="162"/>
      <c r="N291" s="162"/>
      <c r="O291" s="162"/>
      <c r="P291" s="162"/>
    </row>
    <row r="292" spans="1:26" ht="19.5">
      <c r="A292" s="414"/>
      <c r="B292" s="415"/>
      <c r="C292" s="415"/>
      <c r="D292" s="416"/>
      <c r="E292" s="417" t="s">
        <v>134</v>
      </c>
      <c r="F292" s="286"/>
      <c r="G292" s="287"/>
      <c r="H292" s="418"/>
      <c r="I292" s="419"/>
      <c r="J292" s="420"/>
      <c r="K292" s="279"/>
      <c r="L292" s="279"/>
      <c r="M292" s="279"/>
      <c r="N292" s="279"/>
      <c r="O292" s="279"/>
      <c r="P292" s="279"/>
    </row>
    <row r="293" spans="1:26" ht="19.5">
      <c r="A293" s="169"/>
      <c r="B293" s="170"/>
      <c r="C293" s="170"/>
      <c r="D293" s="412"/>
      <c r="E293" s="625" t="s">
        <v>132</v>
      </c>
      <c r="F293" s="177"/>
      <c r="G293" s="178"/>
      <c r="H293" s="763" t="s">
        <v>35</v>
      </c>
      <c r="I293" s="183">
        <f ca="1">IFERROR(__xludf.DUMMYFUNCTION("IMPORTRANGE(""https://docs.google.com/spreadsheets/d/1QqKyyYR6Q21VydFLVH3TRQUabQu_ym0Zz7PgGX0-kHA/edit?usp=sharing"",""แผน!EB75"")"),5)</f>
        <v>5</v>
      </c>
      <c r="J293" s="214">
        <v>5</v>
      </c>
      <c r="K293" s="162">
        <f ca="1">IF(I293&gt;0,J293*100/I293,0)</f>
        <v>100</v>
      </c>
      <c r="L293" s="162"/>
      <c r="M293" s="162"/>
      <c r="N293" s="162"/>
      <c r="O293" s="162"/>
      <c r="P293" s="162"/>
    </row>
    <row r="294" spans="1:26" ht="19.5">
      <c r="A294" s="377"/>
      <c r="B294" s="378"/>
      <c r="C294" s="378"/>
      <c r="D294" s="380"/>
      <c r="E294" s="733" t="s">
        <v>136</v>
      </c>
      <c r="F294" s="380"/>
      <c r="G294" s="381"/>
      <c r="H294" s="422" t="s">
        <v>35</v>
      </c>
      <c r="I294" s="423">
        <f ca="1">IFERROR(__xludf.DUMMYFUNCTION("IMPORTRANGE(""https://docs.google.com/spreadsheets/d/1QqKyyYR6Q21VydFLVH3TRQUabQu_ym0Zz7PgGX0-kHA/edit?usp=sharing"",""แผน!EB75"")"),5)</f>
        <v>5</v>
      </c>
      <c r="J294" s="424">
        <v>5</v>
      </c>
      <c r="K294" s="384">
        <f ca="1">IF(I294&gt;0,J294*100/I294,0)</f>
        <v>100</v>
      </c>
      <c r="L294" s="384"/>
      <c r="M294" s="384"/>
      <c r="N294" s="384"/>
      <c r="O294" s="384"/>
      <c r="P294" s="384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0</v>
      </c>
      <c r="J297" s="444">
        <f>J309</f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6"/>
      <c r="B298" s="147"/>
      <c r="C298" s="148" t="s">
        <v>16</v>
      </c>
      <c r="D298" s="846" t="s">
        <v>17</v>
      </c>
      <c r="E298" s="147"/>
      <c r="F298" s="147"/>
      <c r="G298" s="150"/>
      <c r="H298" s="151" t="s">
        <v>12</v>
      </c>
      <c r="I298" s="420"/>
      <c r="J298" s="420"/>
      <c r="K298" s="153"/>
      <c r="L298" s="154">
        <f ca="1">L299+L300</f>
        <v>0</v>
      </c>
      <c r="M298" s="154">
        <f ca="1">M299+M300</f>
        <v>0</v>
      </c>
      <c r="N298" s="154">
        <f ca="1">N299+N300</f>
        <v>0</v>
      </c>
      <c r="O298" s="154">
        <f t="shared" ref="O298:O306" ca="1" si="50">IF(L298&gt;0,N298*100/L298,0)</f>
        <v>0</v>
      </c>
      <c r="P298" s="154">
        <f t="shared" ref="P298:P306" ca="1" si="51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6"/>
      <c r="J299" s="616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6"/>
      <c r="J300" s="616"/>
      <c r="K300" s="92"/>
      <c r="L300" s="92">
        <f t="shared" ca="1" si="52"/>
        <v>0</v>
      </c>
      <c r="M300" s="92">
        <f t="shared" ca="1" si="52"/>
        <v>0</v>
      </c>
      <c r="N300" s="92">
        <f t="shared" ca="1" si="52"/>
        <v>0</v>
      </c>
      <c r="O300" s="92">
        <f t="shared" ca="1" si="50"/>
        <v>0</v>
      </c>
      <c r="P300" s="92">
        <f t="shared" ca="1" si="51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0</v>
      </c>
      <c r="M301" s="497">
        <f ca="1">M302+M303</f>
        <v>0</v>
      </c>
      <c r="N301" s="497">
        <f ca="1">N302+N303</f>
        <v>0</v>
      </c>
      <c r="O301" s="497">
        <f t="shared" ca="1" si="50"/>
        <v>0</v>
      </c>
      <c r="P301" s="497">
        <f t="shared" ca="1" si="51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IFERROR(__xludf.DUMMYFUNCTION("IMPORTRANGE(""https://docs.google.com/spreadsheets/d/1MeEWN-I1oV_STSDYn1IFDPWt_1FKiwhDph83XaGc0o0/edit?usp=sharing"",""งบพรบ!DS75"")"),0)</f>
        <v>0</v>
      </c>
      <c r="M303" s="92">
        <f ca="1">IFERROR(__xludf.DUMMYFUNCTION("IMPORTRANGE(""https://docs.google.com/spreadsheets/d/1MeEWN-I1oV_STSDYn1IFDPWt_1FKiwhDph83XaGc0o0/edit?usp=sharing"",""งบพรบ!DX75"")"),0)</f>
        <v>0</v>
      </c>
      <c r="N303" s="92">
        <f ca="1">IFERROR(__xludf.DUMMYFUNCTION("IMPORTRANGE(""https://docs.google.com/spreadsheets/d/1MeEWN-I1oV_STSDYn1IFDPWt_1FKiwhDph83XaGc0o0/edit?usp=sharing"",""งบพรบ!DZ75"")"),0)</f>
        <v>0</v>
      </c>
      <c r="O303" s="92">
        <f t="shared" ca="1" si="50"/>
        <v>0</v>
      </c>
      <c r="P303" s="92">
        <f t="shared" ca="1" si="51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IFERROR(__xludf.DUMMYFUNCTION("IMPORTRANGE(""https://docs.google.com/spreadsheets/d/1MeEWN-I1oV_STSDYn1IFDPWt_1FKiwhDph83XaGc0o0/edit?usp=sharing"",""งบพรบ!DV75"")"),0)</f>
        <v>0</v>
      </c>
      <c r="M306" s="92">
        <f ca="1">IFERROR(__xludf.DUMMYFUNCTION("IMPORTRANGE(""https://docs.google.com/spreadsheets/d/1MeEWN-I1oV_STSDYn1IFDPWt_1FKiwhDph83XaGc0o0/edit?usp=sharing"",""งบพรบ!DY75"")"),0)</f>
        <v>0</v>
      </c>
      <c r="N306" s="92">
        <f ca="1">IFERROR(__xludf.DUMMYFUNCTION("IMPORTRANGE(""https://docs.google.com/spreadsheets/d/1MeEWN-I1oV_STSDYn1IFDPWt_1FKiwhDph83XaGc0o0/edit?usp=sharing"",""งบพรบ!EA75"")"),0)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47" t="s">
        <v>38</v>
      </c>
      <c r="E307" s="172"/>
      <c r="F307" s="172"/>
      <c r="G307" s="173"/>
      <c r="H307" s="761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69"/>
      <c r="B308" s="170"/>
      <c r="C308" s="170"/>
      <c r="D308" s="447" t="s">
        <v>140</v>
      </c>
      <c r="E308" s="447"/>
      <c r="F308" s="447"/>
      <c r="G308" s="178"/>
      <c r="H308" s="763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69"/>
      <c r="B309" s="170"/>
      <c r="C309" s="170"/>
      <c r="D309" s="447" t="s">
        <v>141</v>
      </c>
      <c r="E309" s="447"/>
      <c r="F309" s="447"/>
      <c r="G309" s="178"/>
      <c r="H309" s="763" t="s">
        <v>35</v>
      </c>
      <c r="I309" s="269">
        <f ca="1">IFERROR(__xludf.DUMMYFUNCTION("IMPORTRANGE(""https://docs.google.com/spreadsheets/d/1QqKyyYR6Q21VydFLVH3TRQUabQu_ym0Zz7PgGX0-kHA/edit?usp=sharing"",""แผน!ED75"")"),0)</f>
        <v>0</v>
      </c>
      <c r="J309" s="214">
        <v>0</v>
      </c>
      <c r="K309" s="497">
        <f ca="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69"/>
      <c r="B310" s="170"/>
      <c r="C310" s="170"/>
      <c r="D310" s="447" t="s">
        <v>142</v>
      </c>
      <c r="E310" s="447"/>
      <c r="F310" s="447"/>
      <c r="G310" s="178"/>
      <c r="H310" s="763" t="s">
        <v>35</v>
      </c>
      <c r="I310" s="269">
        <f ca="1">IFERROR(__xludf.DUMMYFUNCTION("IMPORTRANGE(""https://docs.google.com/spreadsheets/d/1QqKyyYR6Q21VydFLVH3TRQUabQu_ym0Zz7PgGX0-kHA/edit?usp=sharing"",""แผน!ED75"")"),0)</f>
        <v>0</v>
      </c>
      <c r="J310" s="214">
        <v>0</v>
      </c>
      <c r="K310" s="497">
        <f ca="1">IF(I310&gt;0,J310*100/I310,0)</f>
        <v>0</v>
      </c>
      <c r="L310" s="497"/>
      <c r="M310" s="497"/>
      <c r="N310" s="497"/>
      <c r="O310" s="497"/>
      <c r="P310" s="497"/>
    </row>
    <row r="311" spans="1:26" ht="18.75" hidden="1">
      <c r="A311" s="169"/>
      <c r="B311" s="170"/>
      <c r="C311" s="170"/>
      <c r="D311" s="447" t="s">
        <v>59</v>
      </c>
      <c r="E311" s="447"/>
      <c r="F311" s="447"/>
      <c r="G311" s="178"/>
      <c r="H311" s="763" t="s">
        <v>35</v>
      </c>
      <c r="I311" s="269">
        <f ca="1">IFERROR(__xludf.DUMMYFUNCTION("IMPORTRANGE(""https://docs.google.com/spreadsheets/d/1QqKyyYR6Q21VydFLVH3TRQUabQu_ym0Zz7PgGX0-kHA/edit?usp=sharing"",""แผน!ED75"")"),0)</f>
        <v>0</v>
      </c>
      <c r="J311" s="214">
        <v>0</v>
      </c>
      <c r="K311" s="497">
        <f ca="1">IF(I311&gt;0,J311*100/I311,0)</f>
        <v>0</v>
      </c>
      <c r="L311" s="497"/>
      <c r="M311" s="497"/>
      <c r="N311" s="497"/>
      <c r="O311" s="497"/>
      <c r="P311" s="497"/>
    </row>
    <row r="312" spans="1:26" ht="18.75" hidden="1">
      <c r="A312" s="169"/>
      <c r="B312" s="170"/>
      <c r="C312" s="170"/>
      <c r="D312" s="447" t="s">
        <v>143</v>
      </c>
      <c r="E312" s="447"/>
      <c r="F312" s="447"/>
      <c r="G312" s="178"/>
      <c r="H312" s="763" t="s">
        <v>35</v>
      </c>
      <c r="I312" s="269">
        <f ca="1">IFERROR(__xludf.DUMMYFUNCTION("IMPORTRANGE(""https://docs.google.com/spreadsheets/d/1QqKyyYR6Q21VydFLVH3TRQUabQu_ym0Zz7PgGX0-kHA/edit?usp=sharing"",""แผน!EE75"")"),0)</f>
        <v>0</v>
      </c>
      <c r="J312" s="214">
        <v>0</v>
      </c>
      <c r="K312" s="497">
        <f ca="1">IF(I312&gt;0,J312*100/I312,0)</f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2</v>
      </c>
      <c r="J314" s="444">
        <f>J325</f>
        <v>2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6"/>
      <c r="B315" s="147"/>
      <c r="C315" s="148" t="s">
        <v>16</v>
      </c>
      <c r="D315" s="846" t="s">
        <v>17</v>
      </c>
      <c r="E315" s="147"/>
      <c r="F315" s="147"/>
      <c r="G315" s="150"/>
      <c r="H315" s="151" t="s">
        <v>12</v>
      </c>
      <c r="I315" s="420"/>
      <c r="J315" s="420"/>
      <c r="K315" s="153"/>
      <c r="L315" s="154">
        <f ca="1">L316+L317</f>
        <v>3753000</v>
      </c>
      <c r="M315" s="154">
        <f ca="1">M316+M317</f>
        <v>3811364.19</v>
      </c>
      <c r="N315" s="154">
        <f ca="1">N316+N317</f>
        <v>3811364.19</v>
      </c>
      <c r="O315" s="154">
        <f t="shared" ref="O315:O323" ca="1" si="53">IF(L315&gt;0,N315*100/L315,0)</f>
        <v>101.55513429256595</v>
      </c>
      <c r="P315" s="154">
        <f t="shared" ref="P315:P323" ca="1" si="54">IF(M315&gt;0,N315*100/M315,0)</f>
        <v>100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6"/>
      <c r="J316" s="616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6"/>
      <c r="J317" s="616"/>
      <c r="K317" s="92"/>
      <c r="L317" s="92">
        <f t="shared" ca="1" si="55"/>
        <v>3753000</v>
      </c>
      <c r="M317" s="92">
        <f t="shared" ca="1" si="55"/>
        <v>3811364.19</v>
      </c>
      <c r="N317" s="92">
        <f t="shared" ca="1" si="55"/>
        <v>3811364.19</v>
      </c>
      <c r="O317" s="92">
        <f t="shared" ca="1" si="53"/>
        <v>101.55513429256595</v>
      </c>
      <c r="P317" s="92">
        <f t="shared" ca="1" si="54"/>
        <v>100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153000</v>
      </c>
      <c r="M318" s="497">
        <f ca="1">M319+M320</f>
        <v>250900</v>
      </c>
      <c r="N318" s="497">
        <f ca="1">N319+N320</f>
        <v>250900</v>
      </c>
      <c r="O318" s="497">
        <f t="shared" ca="1" si="53"/>
        <v>163.98692810457516</v>
      </c>
      <c r="P318" s="497">
        <f t="shared" ca="1" si="54"/>
        <v>100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IFERROR(__xludf.DUMMYFUNCTION("IMPORTRANGE(""https://docs.google.com/spreadsheets/d/1MeEWN-I1oV_STSDYn1IFDPWt_1FKiwhDph83XaGc0o0/edit?usp=sharing"",""งบพรบ!EC75"")"),153000)</f>
        <v>153000</v>
      </c>
      <c r="M320" s="92">
        <f ca="1">IFERROR(__xludf.DUMMYFUNCTION("IMPORTRANGE(""https://docs.google.com/spreadsheets/d/1MeEWN-I1oV_STSDYn1IFDPWt_1FKiwhDph83XaGc0o0/edit?usp=sharing"",""งบพรบ!EH75"")"),250900)</f>
        <v>250900</v>
      </c>
      <c r="N320" s="92">
        <f ca="1">IFERROR(__xludf.DUMMYFUNCTION("IMPORTRANGE(""https://docs.google.com/spreadsheets/d/1MeEWN-I1oV_STSDYn1IFDPWt_1FKiwhDph83XaGc0o0/edit?usp=sharing"",""งบพรบ!EJ75"")"),250900)</f>
        <v>250900</v>
      </c>
      <c r="O320" s="92">
        <f t="shared" ca="1" si="53"/>
        <v>163.98692810457516</v>
      </c>
      <c r="P320" s="92">
        <f t="shared" ca="1" si="54"/>
        <v>100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3600000</v>
      </c>
      <c r="M321" s="497">
        <f ca="1">M322+M323</f>
        <v>3560464.19</v>
      </c>
      <c r="N321" s="497">
        <f ca="1">N322+N323</f>
        <v>3560464.19</v>
      </c>
      <c r="O321" s="497">
        <f t="shared" ca="1" si="53"/>
        <v>98.901783055555555</v>
      </c>
      <c r="P321" s="497">
        <f t="shared" ca="1" si="54"/>
        <v>100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IFERROR(__xludf.DUMMYFUNCTION("IMPORTRANGE(""https://docs.google.com/spreadsheets/d/1MeEWN-I1oV_STSDYn1IFDPWt_1FKiwhDph83XaGc0o0/edit?usp=sharing"",""งบพรบ!EF75"")"),3600000)</f>
        <v>3600000</v>
      </c>
      <c r="M323" s="92">
        <f ca="1">IFERROR(__xludf.DUMMYFUNCTION("IMPORTRANGE(""https://docs.google.com/spreadsheets/d/1MeEWN-I1oV_STSDYn1IFDPWt_1FKiwhDph83XaGc0o0/edit?usp=sharing"",""งบพรบ!EI75"")"),3560464.19)</f>
        <v>3560464.19</v>
      </c>
      <c r="N323" s="92">
        <f ca="1">IFERROR(__xludf.DUMMYFUNCTION("IMPORTRANGE(""https://docs.google.com/spreadsheets/d/1MeEWN-I1oV_STSDYn1IFDPWt_1FKiwhDph83XaGc0o0/edit?usp=sharing"",""งบพรบ!EK75"")"),3560464.19)</f>
        <v>3560464.19</v>
      </c>
      <c r="O323" s="92">
        <f t="shared" ca="1" si="53"/>
        <v>98.901783055555555</v>
      </c>
      <c r="P323" s="92">
        <f t="shared" ca="1" si="54"/>
        <v>100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>
      <c r="A324" s="169"/>
      <c r="B324" s="170"/>
      <c r="C324" s="163" t="s">
        <v>16</v>
      </c>
      <c r="D324" s="847" t="s">
        <v>38</v>
      </c>
      <c r="E324" s="172"/>
      <c r="F324" s="172"/>
      <c r="G324" s="173"/>
      <c r="H324" s="761"/>
      <c r="I324" s="183"/>
      <c r="J324" s="269"/>
      <c r="K324" s="497"/>
      <c r="L324" s="497"/>
      <c r="M324" s="497"/>
      <c r="N324" s="497"/>
      <c r="O324" s="162"/>
      <c r="P324" s="162"/>
    </row>
    <row r="325" spans="1:26" ht="18.75">
      <c r="A325" s="169"/>
      <c r="B325" s="170"/>
      <c r="C325" s="170"/>
      <c r="D325" s="175" t="s">
        <v>147</v>
      </c>
      <c r="E325" s="177"/>
      <c r="F325" s="447"/>
      <c r="G325" s="178"/>
      <c r="H325" s="622" t="s">
        <v>146</v>
      </c>
      <c r="I325" s="269">
        <f ca="1">IFERROR(__xludf.DUMMYFUNCTION("IMPORTRANGE(""https://docs.google.com/spreadsheets/d/1QqKyyYR6Q21VydFLVH3TRQUabQu_ym0Zz7PgGX0-kHA/edit?usp=sharing"",""แผน!EF75"")"),2)</f>
        <v>2</v>
      </c>
      <c r="J325" s="214">
        <v>2</v>
      </c>
      <c r="K325" s="497">
        <f ca="1">IF(I325&gt;0,J325*100/I325,0)</f>
        <v>100</v>
      </c>
      <c r="L325" s="497"/>
      <c r="M325" s="497"/>
      <c r="N325" s="497"/>
      <c r="O325" s="162"/>
      <c r="P325" s="162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IFERROR(__xludf.DUMMYFUNCTION("IMPORTRANGE(""https://docs.google.com/spreadsheets/d/1QqKyyYR6Q21VydFLVH3TRQUabQu_ym0Zz7PgGX0-kHA/edit?usp=sharing"",""แผน!EG75"")"),2000)</f>
        <v>2000</v>
      </c>
      <c r="J327" s="444">
        <f ca="1">J338+J341+J342+J343</f>
        <v>4363</v>
      </c>
      <c r="K327" s="445">
        <f ca="1">IF(I327&gt;0,J327*100/I327,0)</f>
        <v>218.15</v>
      </c>
      <c r="L327" s="446"/>
      <c r="M327" s="446"/>
      <c r="N327" s="446"/>
      <c r="O327" s="446"/>
      <c r="P327" s="446"/>
    </row>
    <row r="328" spans="1:26" ht="19.5">
      <c r="A328" s="146"/>
      <c r="B328" s="147"/>
      <c r="C328" s="148" t="s">
        <v>16</v>
      </c>
      <c r="D328" s="846" t="s">
        <v>17</v>
      </c>
      <c r="E328" s="147"/>
      <c r="F328" s="147"/>
      <c r="G328" s="150"/>
      <c r="H328" s="151" t="s">
        <v>12</v>
      </c>
      <c r="I328" s="420"/>
      <c r="J328" s="420"/>
      <c r="K328" s="153"/>
      <c r="L328" s="154">
        <f ca="1">L329+L330</f>
        <v>168000</v>
      </c>
      <c r="M328" s="154">
        <f ca="1">M329+M330</f>
        <v>170500</v>
      </c>
      <c r="N328" s="154">
        <f ca="1">N329+N330</f>
        <v>170500</v>
      </c>
      <c r="O328" s="154">
        <f t="shared" ref="O328:O336" ca="1" si="56">IF(L328&gt;0,N328*100/L328,0)</f>
        <v>101.48809523809524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6"/>
      <c r="J329" s="616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6"/>
      <c r="J330" s="616"/>
      <c r="K330" s="92"/>
      <c r="L330" s="92">
        <f t="shared" ca="1" si="58"/>
        <v>168000</v>
      </c>
      <c r="M330" s="92">
        <f t="shared" ca="1" si="58"/>
        <v>170500</v>
      </c>
      <c r="N330" s="92">
        <f t="shared" ca="1" si="58"/>
        <v>170500</v>
      </c>
      <c r="O330" s="92">
        <f t="shared" ca="1" si="56"/>
        <v>101.48809523809524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168000</v>
      </c>
      <c r="M331" s="497">
        <f ca="1">M332+M333</f>
        <v>170500</v>
      </c>
      <c r="N331" s="497">
        <f ca="1">N332+N333</f>
        <v>170500</v>
      </c>
      <c r="O331" s="497">
        <f t="shared" ca="1" si="56"/>
        <v>101.48809523809524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IFERROR(__xludf.DUMMYFUNCTION("IMPORTRANGE(""https://docs.google.com/spreadsheets/d/1MeEWN-I1oV_STSDYn1IFDPWt_1FKiwhDph83XaGc0o0/edit?usp=sharing"",""งบพรบ!EM75"")"),168000)</f>
        <v>168000</v>
      </c>
      <c r="M333" s="92">
        <f ca="1">IFERROR(__xludf.DUMMYFUNCTION("IMPORTRANGE(""https://docs.google.com/spreadsheets/d/1MeEWN-I1oV_STSDYn1IFDPWt_1FKiwhDph83XaGc0o0/edit?usp=sharing"",""งบพรบ!ER75"")"),170500)</f>
        <v>170500</v>
      </c>
      <c r="N333" s="92">
        <f ca="1">IFERROR(__xludf.DUMMYFUNCTION("IMPORTRANGE(""https://docs.google.com/spreadsheets/d/1MeEWN-I1oV_STSDYn1IFDPWt_1FKiwhDph83XaGc0o0/edit?usp=sharing"",""งบพรบ!ET75"")"),170500)</f>
        <v>170500</v>
      </c>
      <c r="O333" s="92">
        <f t="shared" ca="1" si="56"/>
        <v>101.48809523809524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IFERROR(__xludf.DUMMYFUNCTION("IMPORTRANGE(""https://docs.google.com/spreadsheets/d/1MeEWN-I1oV_STSDYn1IFDPWt_1FKiwhDph83XaGc0o0/edit?usp=sharing"",""งบพรบ!EP75"")"),0)</f>
        <v>0</v>
      </c>
      <c r="M336" s="92">
        <f ca="1">IFERROR(__xludf.DUMMYFUNCTION("IMPORTRANGE(""https://docs.google.com/spreadsheets/d/1MeEWN-I1oV_STSDYn1IFDPWt_1FKiwhDph83XaGc0o0/edit?usp=sharing"",""งบพรบ!ES75"")"),0)</f>
        <v>0</v>
      </c>
      <c r="N336" s="92">
        <f ca="1">IFERROR(__xludf.DUMMYFUNCTION("IMPORTRANGE(""https://docs.google.com/spreadsheets/d/1MeEWN-I1oV_STSDYn1IFDPWt_1FKiwhDph83XaGc0o0/edit?usp=sharing"",""งบพรบ!EU75"")"),0)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4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61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3"/>
      <c r="B338" s="32"/>
      <c r="C338" s="280"/>
      <c r="D338" s="447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IFERROR(__xludf.DUMMYFUNCTION("IMPORTRANGE(""https://docs.google.com/spreadsheets/d/1QqKyyYR6Q21VydFLVH3TRQUabQu_ym0Zz7PgGX0-kHA/edit?usp=sharing"",""แผน!EG75"")"),2000)</f>
        <v>2000</v>
      </c>
      <c r="J338" s="269">
        <f ca="1">IFERROR(__xludf.DUMMYFUNCTION("IMPORTRANGE(""https://docs.google.com/spreadsheets/d/1kVcqe37tkHyjCSG3S0O1AXqVkqjo8mSIZil3BcpIysc/edit?usp=sharing"",""ศูนย์!D75"")"),4234)</f>
        <v>4234</v>
      </c>
      <c r="K338" s="497">
        <f ca="1">IF(I338&gt;0,J338*100/I338,0)</f>
        <v>211.7</v>
      </c>
      <c r="L338" s="497"/>
      <c r="M338" s="497"/>
      <c r="N338" s="497"/>
      <c r="O338" s="497"/>
      <c r="P338" s="497"/>
    </row>
    <row r="339" spans="1:26" ht="18.75">
      <c r="A339" s="283"/>
      <c r="B339" s="32"/>
      <c r="C339" s="280"/>
      <c r="D339" s="447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3"/>
      <c r="B340" s="32"/>
      <c r="C340" s="280"/>
      <c r="D340" s="177"/>
      <c r="E340" s="447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IFERROR(__xludf.DUMMYFUNCTION("IMPORTRANGE(""https://docs.google.com/spreadsheets/d/1QqKyyYR6Q21VydFLVH3TRQUabQu_ym0Zz7PgGX0-kHA/edit?usp=sharing"",""แผน!EH75"")"),5)</f>
        <v>5</v>
      </c>
      <c r="J340" s="269">
        <f ca="1">IFERROR(__xludf.DUMMYFUNCTION("IMPORTRANGE(""https://docs.google.com/spreadsheets/d/1kVcqe37tkHyjCSG3S0O1AXqVkqjo8mSIZil3BcpIysc/edit?usp=sharing"",""ศูนย์!E75"")"),6)</f>
        <v>6</v>
      </c>
      <c r="K340" s="497">
        <f ca="1">IF(I340&gt;0,J340*100/I340,0)</f>
        <v>120</v>
      </c>
      <c r="L340" s="497"/>
      <c r="M340" s="497"/>
      <c r="N340" s="497"/>
      <c r="O340" s="497"/>
      <c r="P340" s="497"/>
    </row>
    <row r="341" spans="1:26" ht="18.75">
      <c r="A341" s="283"/>
      <c r="B341" s="32"/>
      <c r="C341" s="280"/>
      <c r="D341" s="177"/>
      <c r="E341" s="447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IFERROR(__xludf.DUMMYFUNCTION("IMPORTRANGE(""https://docs.google.com/spreadsheets/d/1kVcqe37tkHyjCSG3S0O1AXqVkqjo8mSIZil3BcpIysc/edit?usp=sharing"",""ศูนย์!F75"")"),64)</f>
        <v>64</v>
      </c>
      <c r="K341" s="497"/>
      <c r="L341" s="497"/>
      <c r="M341" s="497"/>
      <c r="N341" s="497"/>
      <c r="O341" s="497"/>
      <c r="P341" s="497"/>
    </row>
    <row r="342" spans="1:26" ht="18.75">
      <c r="A342" s="283"/>
      <c r="B342" s="32"/>
      <c r="C342" s="280"/>
      <c r="D342" s="447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IFERROR(__xludf.DUMMYFUNCTION("IMPORTRANGE(""https://docs.google.com/spreadsheets/d/1kVcqe37tkHyjCSG3S0O1AXqVkqjo8mSIZil3BcpIysc/edit?usp=sharing"",""ศูนย์!G75"")"),65)</f>
        <v>65</v>
      </c>
      <c r="K342" s="497"/>
      <c r="L342" s="497"/>
      <c r="M342" s="497"/>
      <c r="N342" s="497"/>
      <c r="O342" s="497"/>
      <c r="P342" s="497"/>
    </row>
    <row r="343" spans="1:26" ht="18.75">
      <c r="A343" s="283"/>
      <c r="B343" s="32"/>
      <c r="C343" s="280"/>
      <c r="D343" s="447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IFERROR(__xludf.DUMMYFUNCTION("IMPORTRANGE(""https://docs.google.com/spreadsheets/d/1kVcqe37tkHyjCSG3S0O1AXqVkqjo8mSIZil3BcpIysc/edit?usp=sharing"",""ศูนย์!H75"")"),0)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6"/>
      <c r="B345" s="147"/>
      <c r="C345" s="148" t="s">
        <v>16</v>
      </c>
      <c r="D345" s="846" t="s">
        <v>17</v>
      </c>
      <c r="E345" s="147"/>
      <c r="F345" s="147"/>
      <c r="G345" s="150"/>
      <c r="H345" s="151" t="s">
        <v>12</v>
      </c>
      <c r="I345" s="420"/>
      <c r="J345" s="420"/>
      <c r="K345" s="153"/>
      <c r="L345" s="154">
        <f ca="1">L346+L347</f>
        <v>833700</v>
      </c>
      <c r="M345" s="154">
        <f ca="1">M346+M347</f>
        <v>898910</v>
      </c>
      <c r="N345" s="154">
        <f ca="1">N346+N347</f>
        <v>898910</v>
      </c>
      <c r="O345" s="154">
        <f t="shared" ref="O345:O353" ca="1" si="59">IF(L345&gt;0,N345*100/L345,0)</f>
        <v>107.82175842629243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6"/>
      <c r="J346" s="616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6"/>
      <c r="J347" s="616"/>
      <c r="K347" s="92"/>
      <c r="L347" s="92">
        <f t="shared" ca="1" si="61"/>
        <v>833700</v>
      </c>
      <c r="M347" s="92">
        <f t="shared" ca="1" si="61"/>
        <v>898910</v>
      </c>
      <c r="N347" s="92">
        <f t="shared" ca="1" si="61"/>
        <v>898910</v>
      </c>
      <c r="O347" s="92">
        <f t="shared" ca="1" si="59"/>
        <v>107.82175842629243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735900</v>
      </c>
      <c r="M348" s="497">
        <f ca="1">M349+M350</f>
        <v>805900</v>
      </c>
      <c r="N348" s="497">
        <f ca="1">N349+N350</f>
        <v>805900</v>
      </c>
      <c r="O348" s="497">
        <f t="shared" ca="1" si="59"/>
        <v>109.51216197852969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IFERROR(__xludf.DUMMYFUNCTION("IMPORTRANGE(""https://docs.google.com/spreadsheets/d/1MeEWN-I1oV_STSDYn1IFDPWt_1FKiwhDph83XaGc0o0/edit?usp=sharing"",""งบพรบ!EW75"")"),735900)</f>
        <v>735900</v>
      </c>
      <c r="M350" s="92">
        <f ca="1">IFERROR(__xludf.DUMMYFUNCTION("IMPORTRANGE(""https://docs.google.com/spreadsheets/d/1MeEWN-I1oV_STSDYn1IFDPWt_1FKiwhDph83XaGc0o0/edit?usp=sharing"",""งบพรบ!FB75"")"),805900)</f>
        <v>805900</v>
      </c>
      <c r="N350" s="92">
        <f ca="1">IFERROR(__xludf.DUMMYFUNCTION("IMPORTRANGE(""https://docs.google.com/spreadsheets/d/1MeEWN-I1oV_STSDYn1IFDPWt_1FKiwhDph83XaGc0o0/edit?usp=sharing"",""งบพรบ!FD75"")"),805900)</f>
        <v>805900</v>
      </c>
      <c r="O350" s="92">
        <f t="shared" ca="1" si="59"/>
        <v>109.51216197852969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97800</v>
      </c>
      <c r="M351" s="497">
        <f ca="1">M352+M353</f>
        <v>93010</v>
      </c>
      <c r="N351" s="497">
        <f ca="1">N352+N353</f>
        <v>93010</v>
      </c>
      <c r="O351" s="497">
        <f t="shared" ca="1" si="59"/>
        <v>95.102249488752562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IFERROR(__xludf.DUMMYFUNCTION("IMPORTRANGE(""https://docs.google.com/spreadsheets/d/1MeEWN-I1oV_STSDYn1IFDPWt_1FKiwhDph83XaGc0o0/edit?usp=sharing"",""งบพรบ!EZ75"")"),97800)</f>
        <v>97800</v>
      </c>
      <c r="M353" s="92">
        <f ca="1">IFERROR(__xludf.DUMMYFUNCTION("IMPORTRANGE(""https://docs.google.com/spreadsheets/d/1MeEWN-I1oV_STSDYn1IFDPWt_1FKiwhDph83XaGc0o0/edit?usp=sharing"",""งบพรบ!FC75"")"),93010)</f>
        <v>93010</v>
      </c>
      <c r="N353" s="92">
        <f ca="1">IFERROR(__xludf.DUMMYFUNCTION("IMPORTRANGE(""https://docs.google.com/spreadsheets/d/1MeEWN-I1oV_STSDYn1IFDPWt_1FKiwhDph83XaGc0o0/edit?usp=sharing"",""งบพรบ!FE75"")"),93010)</f>
        <v>93010</v>
      </c>
      <c r="O353" s="92">
        <f t="shared" ca="1" si="59"/>
        <v>95.102249488752562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1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IFERROR(__xludf.DUMMYFUNCTION("IMPORTRANGE(""https://docs.google.com/spreadsheets/d/1QqKyyYR6Q21VydFLVH3TRQUabQu_ym0Zz7PgGX0-kHA/edit?usp=sharing"",""แผน!EP75"")"),210)</f>
        <v>210</v>
      </c>
      <c r="J355" s="464">
        <f ca="1">J362</f>
        <v>214</v>
      </c>
      <c r="K355" s="465">
        <f ca="1">IF(I355&gt;0,J355*100/I355,0)</f>
        <v>101.9047619047619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47" t="s">
        <v>38</v>
      </c>
      <c r="E357" s="172"/>
      <c r="F357" s="172"/>
      <c r="G357" s="173"/>
      <c r="H357" s="761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IFERROR(__xludf.DUMMYFUNCTION("IMPORTRANGE(""https://docs.google.com/spreadsheets/d/1XWAQStnk-4SwqDmLtmXYiTMKHgktTP8We1SCoS47DrQ/edit?usp=sharing"",""จัดที่ดิน!W75"")"),293)</f>
        <v>293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IFERROR(__xludf.DUMMYFUNCTION("IMPORTRANGE(""https://docs.google.com/spreadsheets/d/1QqKyyYR6Q21VydFLVH3TRQUabQu_ym0Zz7PgGX0-kHA/edit?usp=sharing"",""แผน!EO75"")"),2100)</f>
        <v>2100</v>
      </c>
      <c r="J359" s="269">
        <f ca="1">IFERROR(__xludf.DUMMYFUNCTION("IMPORTRANGE(""https://docs.google.com/spreadsheets/d/1XWAQStnk-4SwqDmLtmXYiTMKHgktTP8We1SCoS47DrQ/edit?usp=sharing"",""จัดที่ดิน!X75"")"),3163.4)</f>
        <v>3163.4</v>
      </c>
      <c r="K359" s="497">
        <f t="shared" ca="1" si="62"/>
        <v>150.63809523809525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63" t="s">
        <v>35</v>
      </c>
      <c r="I360" s="269">
        <f ca="1">IFERROR(__xludf.DUMMYFUNCTION("IMPORTRANGE(""https://docs.google.com/spreadsheets/d/1QqKyyYR6Q21VydFLVH3TRQUabQu_ym0Zz7PgGX0-kHA/edit?usp=sharing"",""แผน!EP75"")"),210)</f>
        <v>210</v>
      </c>
      <c r="J360" s="269">
        <f ca="1">IFERROR(__xludf.DUMMYFUNCTION("IMPORTRANGE(""https://docs.google.com/spreadsheets/d/1XWAQStnk-4SwqDmLtmXYiTMKHgktTP8We1SCoS47DrQ/edit?usp=sharing"",""จัดที่ดิน!Y75"")"),325)</f>
        <v>325</v>
      </c>
      <c r="K360" s="497">
        <f t="shared" ca="1" si="62"/>
        <v>154.76190476190476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63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IFERROR(__xludf.DUMMYFUNCTION("IMPORTRANGE(""https://docs.google.com/spreadsheets/d/1XWAQStnk-4SwqDmLtmXYiTMKHgktTP8We1SCoS47DrQ/edit?usp=sharing"",""จัดที่ดิน!Z75"")"),5266.98)</f>
        <v>5266.98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63" t="s">
        <v>35</v>
      </c>
      <c r="I362" s="269">
        <f ca="1">IFERROR(__xludf.DUMMYFUNCTION("IMPORTRANGE(""https://docs.google.com/spreadsheets/d/1QqKyyYR6Q21VydFLVH3TRQUabQu_ym0Zz7PgGX0-kHA/edit?usp=sharing"",""แผน!EP75"")"),210)</f>
        <v>210</v>
      </c>
      <c r="J362" s="269">
        <f ca="1">IFERROR(__xludf.DUMMYFUNCTION("IMPORTRANGE(""https://docs.google.com/spreadsheets/d/1XWAQStnk-4SwqDmLtmXYiTMKHgktTP8We1SCoS47DrQ/edit?usp=sharing"",""จัดที่ดิน!AA75"")"),214)</f>
        <v>214</v>
      </c>
      <c r="K362" s="497">
        <f t="shared" ca="1" si="62"/>
        <v>101.9047619047619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7"/>
      <c r="F363" s="177"/>
      <c r="G363" s="178"/>
      <c r="H363" s="763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IFERROR(__xludf.DUMMYFUNCTION("IMPORTRANGE(""https://docs.google.com/spreadsheets/d/1XWAQStnk-4SwqDmLtmXYiTMKHgktTP8We1SCoS47DrQ/edit?usp=sharing"",""จัดที่ดิน!AB75"")"),3676.33)</f>
        <v>3676.33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270</v>
      </c>
      <c r="J364" s="478">
        <f ca="1">J365+J374</f>
        <v>485</v>
      </c>
      <c r="K364" s="479">
        <f t="shared" ca="1" si="62"/>
        <v>179.62962962962962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IFERROR(__xludf.DUMMYFUNCTION("IMPORTRANGE(""https://docs.google.com/spreadsheets/d/1QqKyyYR6Q21VydFLVH3TRQUabQu_ym0Zz7PgGX0-kHA/edit?usp=sharing"",""แผน!EJ75"")"),130)</f>
        <v>130</v>
      </c>
      <c r="J365" s="490">
        <f ca="1">J372</f>
        <v>138</v>
      </c>
      <c r="K365" s="491">
        <f t="shared" ca="1" si="62"/>
        <v>106.15384615384616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47" t="s">
        <v>38</v>
      </c>
      <c r="E367" s="172"/>
      <c r="F367" s="172"/>
      <c r="G367" s="173"/>
      <c r="H367" s="761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IFERROR(__xludf.DUMMYFUNCTION("IMPORTRANGE(""https://docs.google.com/spreadsheets/d/1XWAQStnk-4SwqDmLtmXYiTMKHgktTP8We1SCoS47DrQ/edit?usp=sharing"",""จัดที่ดิน!E75"")"),145)</f>
        <v>145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IFERROR(__xludf.DUMMYFUNCTION("IMPORTRANGE(""https://docs.google.com/spreadsheets/d/1QqKyyYR6Q21VydFLVH3TRQUabQu_ym0Zz7PgGX0-kHA/edit?usp=sharing"",""แผน!EI75"")"),1300)</f>
        <v>1300</v>
      </c>
      <c r="J369" s="269">
        <f ca="1">IFERROR(__xludf.DUMMYFUNCTION("IMPORTRANGE(""https://docs.google.com/spreadsheets/d/1XWAQStnk-4SwqDmLtmXYiTMKHgktTP8We1SCoS47DrQ/edit?usp=sharing"",""จัดที่ดิน!F75"")"),1661.65)</f>
        <v>1661.65</v>
      </c>
      <c r="K369" s="497">
        <f t="shared" ca="1" si="63"/>
        <v>127.81923076923077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63" t="s">
        <v>35</v>
      </c>
      <c r="I370" s="269">
        <f ca="1">IFERROR(__xludf.DUMMYFUNCTION("IMPORTRANGE(""https://docs.google.com/spreadsheets/d/1QqKyyYR6Q21VydFLVH3TRQUabQu_ym0Zz7PgGX0-kHA/edit?usp=sharing"",""แผน!EJ75"")"),130)</f>
        <v>130</v>
      </c>
      <c r="J370" s="269">
        <f ca="1">IFERROR(__xludf.DUMMYFUNCTION("IMPORTRANGE(""https://docs.google.com/spreadsheets/d/1XWAQStnk-4SwqDmLtmXYiTMKHgktTP8We1SCoS47DrQ/edit?usp=sharing"",""จัดที่ดิน!G75"")"),193)</f>
        <v>193</v>
      </c>
      <c r="K370" s="497">
        <f t="shared" ca="1" si="63"/>
        <v>148.46153846153845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63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IFERROR(__xludf.DUMMYFUNCTION("IMPORTRANGE(""https://docs.google.com/spreadsheets/d/1XWAQStnk-4SwqDmLtmXYiTMKHgktTP8We1SCoS47DrQ/edit?usp=sharing"",""จัดที่ดิน!H75"")"),3869.32)</f>
        <v>3869.32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63" t="s">
        <v>35</v>
      </c>
      <c r="I372" s="269">
        <f ca="1">IFERROR(__xludf.DUMMYFUNCTION("IMPORTRANGE(""https://docs.google.com/spreadsheets/d/1QqKyyYR6Q21VydFLVH3TRQUabQu_ym0Zz7PgGX0-kHA/edit?usp=sharing"",""แผน!EJ75"")"),130)</f>
        <v>130</v>
      </c>
      <c r="J372" s="269">
        <f ca="1">IFERROR(__xludf.DUMMYFUNCTION("IMPORTRANGE(""https://docs.google.com/spreadsheets/d/1XWAQStnk-4SwqDmLtmXYiTMKHgktTP8We1SCoS47DrQ/edit?usp=sharing"",""จัดที่ดิน!I75"")"),138)</f>
        <v>138</v>
      </c>
      <c r="K372" s="497">
        <f t="shared" ca="1" si="63"/>
        <v>106.15384615384616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7"/>
      <c r="C373" s="170"/>
      <c r="D373" s="177"/>
      <c r="E373" s="447"/>
      <c r="F373" s="177"/>
      <c r="G373" s="178"/>
      <c r="H373" s="763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IFERROR(__xludf.DUMMYFUNCTION("IMPORTRANGE(""https://docs.google.com/spreadsheets/d/1XWAQStnk-4SwqDmLtmXYiTMKHgktTP8We1SCoS47DrQ/edit?usp=sharing"",""จัดที่ดิน!J75"")"),2882.32)</f>
        <v>2882.32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IFERROR(__xludf.DUMMYFUNCTION("IMPORTRANGE(""https://docs.google.com/spreadsheets/d/1QqKyyYR6Q21VydFLVH3TRQUabQu_ym0Zz7PgGX0-kHA/edit?usp=sharing"",""แผน!EU75"")"),140)</f>
        <v>140</v>
      </c>
      <c r="J374" s="490">
        <f ca="1">J381</f>
        <v>347</v>
      </c>
      <c r="K374" s="491">
        <f t="shared" ca="1" si="63"/>
        <v>247.85714285714286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47" t="s">
        <v>38</v>
      </c>
      <c r="E376" s="172"/>
      <c r="F376" s="172"/>
      <c r="G376" s="173"/>
      <c r="H376" s="761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IFERROR(__xludf.DUMMYFUNCTION("IMPORTRANGE(""https://docs.google.com/spreadsheets/d/1XWAQStnk-4SwqDmLtmXYiTMKHgktTP8We1SCoS47DrQ/edit?usp=sharing"",""จัดที่ดิน!AH75"")"),148)</f>
        <v>148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IFERROR(__xludf.DUMMYFUNCTION("IMPORTRANGE(""https://docs.google.com/spreadsheets/d/1QqKyyYR6Q21VydFLVH3TRQUabQu_ym0Zz7PgGX0-kHA/edit?usp=sharing"",""แผน!ET75"")"),800)</f>
        <v>800</v>
      </c>
      <c r="J378" s="269">
        <f ca="1">IFERROR(__xludf.DUMMYFUNCTION("IMPORTRANGE(""https://docs.google.com/spreadsheets/d/1XWAQStnk-4SwqDmLtmXYiTMKHgktTP8We1SCoS47DrQ/edit?usp=sharing"",""จัดที่ดิน!AI75"")"),1501.75)</f>
        <v>1501.75</v>
      </c>
      <c r="K378" s="497">
        <f t="shared" ca="1" si="64"/>
        <v>187.71875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63" t="s">
        <v>35</v>
      </c>
      <c r="I379" s="269">
        <f ca="1">IFERROR(__xludf.DUMMYFUNCTION("IMPORTRANGE(""https://docs.google.com/spreadsheets/d/1QqKyyYR6Q21VydFLVH3TRQUabQu_ym0Zz7PgGX0-kHA/edit?usp=sharing"",""แผน!EU75"")"),140)</f>
        <v>140</v>
      </c>
      <c r="J379" s="269">
        <f ca="1">IFERROR(__xludf.DUMMYFUNCTION("IMPORTRANGE(""https://docs.google.com/spreadsheets/d/1XWAQStnk-4SwqDmLtmXYiTMKHgktTP8We1SCoS47DrQ/edit?usp=sharing"",""จัดที่ดิน!AJ75"")"),403)</f>
        <v>403</v>
      </c>
      <c r="K379" s="497">
        <f t="shared" ca="1" si="64"/>
        <v>287.85714285714283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63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IFERROR(__xludf.DUMMYFUNCTION("IMPORTRANGE(""https://docs.google.com/spreadsheets/d/1XWAQStnk-4SwqDmLtmXYiTMKHgktTP8We1SCoS47DrQ/edit?usp=sharing"",""จัดที่ดิน!AK75"")"),5788.34)</f>
        <v>5788.34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63" t="s">
        <v>35</v>
      </c>
      <c r="I381" s="269">
        <f ca="1">IFERROR(__xludf.DUMMYFUNCTION("IMPORTRANGE(""https://docs.google.com/spreadsheets/d/1QqKyyYR6Q21VydFLVH3TRQUabQu_ym0Zz7PgGX0-kHA/edit?usp=sharing"",""แผน!EU75"")"),140)</f>
        <v>140</v>
      </c>
      <c r="J381" s="269">
        <f ca="1">IFERROR(__xludf.DUMMYFUNCTION("IMPORTRANGE(""https://docs.google.com/spreadsheets/d/1XWAQStnk-4SwqDmLtmXYiTMKHgktTP8We1SCoS47DrQ/edit?usp=sharing"",""จัดที่ดิน!AL75"")"),347)</f>
        <v>347</v>
      </c>
      <c r="K381" s="497">
        <f t="shared" ca="1" si="64"/>
        <v>247.85714285714286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7"/>
      <c r="C382" s="170"/>
      <c r="D382" s="177"/>
      <c r="E382" s="447"/>
      <c r="F382" s="177"/>
      <c r="G382" s="178"/>
      <c r="H382" s="763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IFERROR(__xludf.DUMMYFUNCTION("IMPORTRANGE(""https://docs.google.com/spreadsheets/d/1XWAQStnk-4SwqDmLtmXYiTMKHgktTP8We1SCoS47DrQ/edit?usp=sharing"",""จัดที่ดิน!AM75"")"),5184.69)</f>
        <v>5184.6899999999996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498"/>
      <c r="B383" s="499"/>
      <c r="C383" s="290"/>
      <c r="D383" s="849" t="s">
        <v>169</v>
      </c>
      <c r="E383" s="290"/>
      <c r="F383" s="290"/>
      <c r="G383" s="501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4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761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503" t="s">
        <v>170</v>
      </c>
      <c r="F385" s="380"/>
      <c r="G385" s="381"/>
      <c r="H385" s="504" t="s">
        <v>35</v>
      </c>
      <c r="I385" s="505">
        <f ca="1">IFERROR(__xludf.DUMMYFUNCTION("IMPORTRANGE(""https://docs.google.com/spreadsheets/d/1QqKyyYR6Q21VydFLVH3TRQUabQu_ym0Zz7PgGX0-kHA/edit?usp=sharing"",""แผน!EW75"")"),20)</f>
        <v>20</v>
      </c>
      <c r="J385" s="505">
        <f ca="1">IFERROR(__xludf.DUMMYFUNCTION("IMPORTRANGE(""https://docs.google.com/spreadsheets/d/1XWAQStnk-4SwqDmLtmXYiTMKHgktTP8We1SCoS47DrQ/edit?usp=sharing"",""จัดที่ดิน!AP75"")"),9)</f>
        <v>9</v>
      </c>
      <c r="K385" s="506">
        <f ca="1">IF(I385&gt;0,J385*100/I385,0)</f>
        <v>45</v>
      </c>
      <c r="L385" s="384"/>
      <c r="M385" s="384"/>
      <c r="N385" s="384"/>
      <c r="O385" s="384"/>
      <c r="P385" s="384"/>
    </row>
    <row r="386" spans="1:26" ht="19.5">
      <c r="A386" s="507" t="s">
        <v>171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>
      <c r="A387" s="514" t="s">
        <v>172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>
      <c r="A388" s="520"/>
      <c r="B388" s="521" t="s">
        <v>173</v>
      </c>
      <c r="C388" s="522"/>
      <c r="D388" s="523"/>
      <c r="E388" s="523"/>
      <c r="F388" s="523"/>
      <c r="G388" s="524"/>
      <c r="H388" s="525" t="s">
        <v>66</v>
      </c>
      <c r="I388" s="526">
        <f>I400</f>
        <v>0</v>
      </c>
      <c r="J388" s="526">
        <f>J400</f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>
      <c r="A389" s="146"/>
      <c r="B389" s="147"/>
      <c r="C389" s="148" t="s">
        <v>16</v>
      </c>
      <c r="D389" s="846" t="s">
        <v>17</v>
      </c>
      <c r="E389" s="147"/>
      <c r="F389" s="147"/>
      <c r="G389" s="150"/>
      <c r="H389" s="151" t="s">
        <v>12</v>
      </c>
      <c r="I389" s="420"/>
      <c r="J389" s="420"/>
      <c r="K389" s="153"/>
      <c r="L389" s="154">
        <f ca="1">L390+L391</f>
        <v>26000000</v>
      </c>
      <c r="M389" s="154">
        <f ca="1">M390+M391</f>
        <v>26000000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24" hidden="1" customHeight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6"/>
      <c r="J390" s="616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6"/>
      <c r="J391" s="616"/>
      <c r="K391" s="92"/>
      <c r="L391" s="92">
        <f t="shared" ca="1" si="67"/>
        <v>26000000</v>
      </c>
      <c r="M391" s="92">
        <f t="shared" ca="1" si="67"/>
        <v>26000000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IFERROR(__xludf.DUMMYFUNCTION("IMPORTRANGE(""https://docs.google.com/spreadsheets/d/1MeEWN-I1oV_STSDYn1IFDPWt_1FKiwhDph83XaGc0o0/edit?usp=sharing"",""งบพรบ!FG75"")"),0)</f>
        <v>0</v>
      </c>
      <c r="M394" s="92">
        <f ca="1">IFERROR(__xludf.DUMMYFUNCTION("IMPORTRANGE(""https://docs.google.com/spreadsheets/d/1MeEWN-I1oV_STSDYn1IFDPWt_1FKiwhDph83XaGc0o0/edit?usp=sharing"",""งบพรบ!FL75"")"),0)</f>
        <v>0</v>
      </c>
      <c r="N394" s="92">
        <f ca="1">IFERROR(__xludf.DUMMYFUNCTION("IMPORTRANGE(""https://docs.google.com/spreadsheets/d/1MeEWN-I1oV_STSDYn1IFDPWt_1FKiwhDph83XaGc0o0/edit?usp=sharing"",""งบพรบ!FN75"")"),0)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26000000</v>
      </c>
      <c r="M395" s="497">
        <f ca="1">M396+M397</f>
        <v>26000000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IFERROR(__xludf.DUMMYFUNCTION("IMPORTRANGE(""https://docs.google.com/spreadsheets/d/1MeEWN-I1oV_STSDYn1IFDPWt_1FKiwhDph83XaGc0o0/edit?usp=sharing"",""งบพรบ!FJ75"")"),26000000)</f>
        <v>26000000</v>
      </c>
      <c r="M397" s="92">
        <f ca="1">IFERROR(__xludf.DUMMYFUNCTION("IMPORTRANGE(""https://docs.google.com/spreadsheets/d/1MeEWN-I1oV_STSDYn1IFDPWt_1FKiwhDph83XaGc0o0/edit?usp=sharing"",""งบพรบ!FM75"")"),26000000)</f>
        <v>26000000</v>
      </c>
      <c r="N397" s="92">
        <f ca="1">IFERROR(__xludf.DUMMYFUNCTION("IMPORTRANGE(""https://docs.google.com/spreadsheets/d/1MeEWN-I1oV_STSDYn1IFDPWt_1FKiwhDph83XaGc0o0/edit?usp=sharing"",""งบพรบ!FO75"")"),0)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>
      <c r="A398" s="169"/>
      <c r="B398" s="170"/>
      <c r="C398" s="163" t="s">
        <v>16</v>
      </c>
      <c r="D398" s="847" t="s">
        <v>38</v>
      </c>
      <c r="E398" s="172"/>
      <c r="F398" s="172"/>
      <c r="G398" s="173"/>
      <c r="H398" s="761"/>
      <c r="I398" s="183"/>
      <c r="J398" s="269"/>
      <c r="K398" s="497"/>
      <c r="L398" s="497"/>
      <c r="M398" s="497"/>
      <c r="N398" s="497"/>
      <c r="O398" s="162"/>
      <c r="P398" s="162"/>
    </row>
    <row r="399" spans="1:26" ht="18.75">
      <c r="A399" s="529"/>
      <c r="B399" s="147"/>
      <c r="C399" s="530"/>
      <c r="D399" s="531" t="s">
        <v>174</v>
      </c>
      <c r="E399" s="415"/>
      <c r="F399" s="147"/>
      <c r="G399" s="150"/>
      <c r="H399" s="532" t="s">
        <v>9</v>
      </c>
      <c r="I399" s="269">
        <v>0</v>
      </c>
      <c r="J399" s="214">
        <v>0</v>
      </c>
      <c r="K399" s="497">
        <f>IF(I399&gt;0,J399*100/I399,0)</f>
        <v>0</v>
      </c>
      <c r="L399" s="533"/>
      <c r="M399" s="533"/>
      <c r="N399" s="533"/>
      <c r="O399" s="533"/>
      <c r="P399" s="533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>
      <c r="A400" s="283"/>
      <c r="B400" s="32"/>
      <c r="C400" s="280"/>
      <c r="D400" s="447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>
      <c r="A401" s="520"/>
      <c r="B401" s="521" t="s">
        <v>176</v>
      </c>
      <c r="C401" s="522"/>
      <c r="D401" s="523"/>
      <c r="E401" s="523"/>
      <c r="F401" s="523"/>
      <c r="G401" s="524"/>
      <c r="H401" s="525" t="s">
        <v>66</v>
      </c>
      <c r="I401" s="526">
        <f>I412</f>
        <v>15</v>
      </c>
      <c r="J401" s="526">
        <f>J412</f>
        <v>14</v>
      </c>
      <c r="K401" s="527">
        <f>IF(I401&gt;0,J401*100/I401,0)</f>
        <v>93.333333333333329</v>
      </c>
      <c r="L401" s="528"/>
      <c r="M401" s="528"/>
      <c r="N401" s="528"/>
      <c r="O401" s="528"/>
      <c r="P401" s="528"/>
    </row>
    <row r="402" spans="1:26" ht="19.5">
      <c r="A402" s="146"/>
      <c r="B402" s="147"/>
      <c r="C402" s="148" t="s">
        <v>16</v>
      </c>
      <c r="D402" s="846" t="s">
        <v>17</v>
      </c>
      <c r="E402" s="147"/>
      <c r="F402" s="147"/>
      <c r="G402" s="150"/>
      <c r="H402" s="151" t="s">
        <v>12</v>
      </c>
      <c r="I402" s="420"/>
      <c r="J402" s="420"/>
      <c r="K402" s="153"/>
      <c r="L402" s="154">
        <f ca="1">L403+L404</f>
        <v>34000000</v>
      </c>
      <c r="M402" s="154">
        <f ca="1">M403+M404</f>
        <v>34000000</v>
      </c>
      <c r="N402" s="154">
        <f ca="1">N403+N404</f>
        <v>33405684</v>
      </c>
      <c r="O402" s="154">
        <f t="shared" ref="O402:O410" ca="1" si="68">IF(L402&gt;0,N402*100/L402,0)</f>
        <v>98.252011764705884</v>
      </c>
      <c r="P402" s="154">
        <f t="shared" ref="P402:P410" ca="1" si="69">IF(M402&gt;0,N402*100/M402,0)</f>
        <v>98.252011764705884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6"/>
      <c r="J403" s="616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6"/>
      <c r="J404" s="616"/>
      <c r="K404" s="92"/>
      <c r="L404" s="92">
        <f t="shared" ca="1" si="70"/>
        <v>34000000</v>
      </c>
      <c r="M404" s="92">
        <f t="shared" ca="1" si="70"/>
        <v>34000000</v>
      </c>
      <c r="N404" s="92">
        <f t="shared" ca="1" si="70"/>
        <v>33405684</v>
      </c>
      <c r="O404" s="92">
        <f t="shared" ca="1" si="68"/>
        <v>98.252011764705884</v>
      </c>
      <c r="P404" s="92">
        <f t="shared" ca="1" si="69"/>
        <v>98.252011764705884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IFERROR(__xludf.DUMMYFUNCTION("IMPORTRANGE(""https://docs.google.com/spreadsheets/d/1MeEWN-I1oV_STSDYn1IFDPWt_1FKiwhDph83XaGc0o0/edit?usp=sharing"",""งบพรบ!FQ75"")"),0)</f>
        <v>0</v>
      </c>
      <c r="M407" s="92">
        <f ca="1">IFERROR(__xludf.DUMMYFUNCTION("IMPORTRANGE(""https://docs.google.com/spreadsheets/d/1MeEWN-I1oV_STSDYn1IFDPWt_1FKiwhDph83XaGc0o0/edit?usp=sharing"",""งบพรบ!FV75"")"),0)</f>
        <v>0</v>
      </c>
      <c r="N407" s="92">
        <f ca="1">IFERROR(__xludf.DUMMYFUNCTION("IMPORTRANGE(""https://docs.google.com/spreadsheets/d/1MeEWN-I1oV_STSDYn1IFDPWt_1FKiwhDph83XaGc0o0/edit?usp=sharing"",""งบพรบ!FX75"")"),0)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34000000</v>
      </c>
      <c r="M408" s="497">
        <f ca="1">M409+M410</f>
        <v>34000000</v>
      </c>
      <c r="N408" s="497">
        <f ca="1">N409+N410</f>
        <v>33405684</v>
      </c>
      <c r="O408" s="497">
        <f t="shared" ca="1" si="68"/>
        <v>98.252011764705884</v>
      </c>
      <c r="P408" s="497">
        <f t="shared" ca="1" si="69"/>
        <v>98.252011764705884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IFERROR(__xludf.DUMMYFUNCTION("IMPORTRANGE(""https://docs.google.com/spreadsheets/d/1MeEWN-I1oV_STSDYn1IFDPWt_1FKiwhDph83XaGc0o0/edit?usp=sharing"",""งบพรบ!FT75"")"),34000000)</f>
        <v>34000000</v>
      </c>
      <c r="M410" s="92">
        <f ca="1">IFERROR(__xludf.DUMMYFUNCTION("IMPORTRANGE(""https://docs.google.com/spreadsheets/d/1MeEWN-I1oV_STSDYn1IFDPWt_1FKiwhDph83XaGc0o0/edit?usp=sharing"",""งบพรบ!FW75"")"),34000000)</f>
        <v>34000000</v>
      </c>
      <c r="N410" s="92">
        <f ca="1">IFERROR(__xludf.DUMMYFUNCTION("IMPORTRANGE(""https://docs.google.com/spreadsheets/d/1MeEWN-I1oV_STSDYn1IFDPWt_1FKiwhDph83XaGc0o0/edit?usp=sharing"",""งบพรบ!FY75"")"),33405684)</f>
        <v>33405684</v>
      </c>
      <c r="O410" s="92">
        <f t="shared" ca="1" si="68"/>
        <v>98.252011764705884</v>
      </c>
      <c r="P410" s="92">
        <f t="shared" ca="1" si="69"/>
        <v>98.252011764705884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>
      <c r="A411" s="169"/>
      <c r="B411" s="170"/>
      <c r="C411" s="163" t="s">
        <v>16</v>
      </c>
      <c r="D411" s="845" t="s">
        <v>38</v>
      </c>
      <c r="E411" s="535"/>
      <c r="F411" s="535"/>
      <c r="G411" s="536"/>
      <c r="H411" s="761"/>
      <c r="I411" s="269"/>
      <c r="J411" s="269"/>
      <c r="K411" s="497"/>
      <c r="L411" s="162"/>
      <c r="M411" s="162"/>
      <c r="N411" s="162"/>
      <c r="O411" s="162"/>
      <c r="P411" s="162"/>
    </row>
    <row r="412" spans="1:26" ht="18.75">
      <c r="A412" s="169"/>
      <c r="B412" s="177"/>
      <c r="C412" s="177"/>
      <c r="D412" s="447" t="s">
        <v>177</v>
      </c>
      <c r="E412" s="177"/>
      <c r="F412" s="177"/>
      <c r="G412" s="178"/>
      <c r="H412" s="537" t="s">
        <v>66</v>
      </c>
      <c r="I412" s="269">
        <v>15</v>
      </c>
      <c r="J412" s="214">
        <v>14</v>
      </c>
      <c r="K412" s="497">
        <f>IF(I412&gt;0,J412*100/I412,0)</f>
        <v>93.333333333333329</v>
      </c>
      <c r="L412" s="162"/>
      <c r="M412" s="162"/>
      <c r="N412" s="162"/>
      <c r="O412" s="162"/>
      <c r="P412" s="162"/>
    </row>
    <row r="413" spans="1:26" ht="19.5" thickBot="1">
      <c r="A413" s="538"/>
      <c r="B413" s="539"/>
      <c r="C413" s="539"/>
      <c r="D413" s="540" t="s">
        <v>178</v>
      </c>
      <c r="E413" s="539"/>
      <c r="F413" s="539"/>
      <c r="G413" s="541"/>
      <c r="H413" s="542" t="s">
        <v>179</v>
      </c>
      <c r="I413" s="543">
        <v>795800</v>
      </c>
      <c r="J413" s="544">
        <v>660431</v>
      </c>
      <c r="K413" s="545">
        <f>IF(I413&gt;0,J413*100/I413,0)</f>
        <v>82.989570243779838</v>
      </c>
      <c r="L413" s="546"/>
      <c r="M413" s="546"/>
      <c r="N413" s="546"/>
      <c r="O413" s="546"/>
      <c r="P413" s="546"/>
    </row>
    <row r="414" spans="1:26" ht="19.5">
      <c r="A414" s="547" t="s">
        <v>180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ca="1">L419+L444+L467+L502+L523+L544+L629+L655+L685+L737+L754+L770+L786+L805</f>
        <v>1723517</v>
      </c>
      <c r="M414" s="553">
        <f ca="1">M419+M444+M467+M502+M523+M544+M629+M655+M685+M737+M754+M770+M786+M805</f>
        <v>1518176.95</v>
      </c>
      <c r="N414" s="553">
        <f>N419+N444+N467+N502+N523+N544+N629+N655+N685+N737+N754+N770+N786+N805</f>
        <v>1518176.95</v>
      </c>
      <c r="O414" s="553">
        <f ca="1">IF(L414&gt;0,N414*100/L414,0)</f>
        <v>88.085986387137467</v>
      </c>
      <c r="P414" s="553">
        <f ca="1">IF(M414&gt;0,N414*100/M414,0)</f>
        <v>100</v>
      </c>
    </row>
    <row r="415" spans="1:26" ht="19.5">
      <c r="A415" s="554" t="s">
        <v>181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182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183</v>
      </c>
      <c r="C417" s="565"/>
      <c r="D417" s="566"/>
      <c r="E417" s="566"/>
      <c r="F417" s="566"/>
      <c r="G417" s="567"/>
      <c r="H417" s="568" t="s">
        <v>35</v>
      </c>
      <c r="I417" s="569">
        <f ca="1">I433</f>
        <v>15</v>
      </c>
      <c r="J417" s="569">
        <f ca="1">J433</f>
        <v>15</v>
      </c>
      <c r="K417" s="570">
        <f ca="1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ca="1">I434</f>
        <v>1</v>
      </c>
      <c r="J418" s="569">
        <f>J434</f>
        <v>1</v>
      </c>
      <c r="K418" s="570">
        <f ca="1">IF(I418&gt;0,J418*100/I418,0)</f>
        <v>100</v>
      </c>
      <c r="L418" s="571"/>
      <c r="M418" s="571"/>
      <c r="N418" s="571"/>
      <c r="O418" s="571"/>
      <c r="P418" s="571"/>
    </row>
    <row r="419" spans="1:26" ht="19.5">
      <c r="A419" s="146"/>
      <c r="B419" s="147"/>
      <c r="C419" s="147" t="s">
        <v>16</v>
      </c>
      <c r="D419" s="910" t="s">
        <v>17</v>
      </c>
      <c r="E419" s="890"/>
      <c r="F419" s="890"/>
      <c r="G419" s="150"/>
      <c r="H419" s="274" t="s">
        <v>12</v>
      </c>
      <c r="I419" s="420"/>
      <c r="J419" s="420"/>
      <c r="K419" s="153"/>
      <c r="L419" s="154">
        <f ca="1">L420+L421</f>
        <v>66560</v>
      </c>
      <c r="M419" s="154">
        <f ca="1">M420+M421</f>
        <v>66560</v>
      </c>
      <c r="N419" s="154">
        <f>N420+N421</f>
        <v>66560</v>
      </c>
      <c r="O419" s="154">
        <f t="shared" ref="O419:O424" ca="1" si="71">IF(L419&gt;0,N419*100/L419,0)</f>
        <v>100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6"/>
      <c r="J420" s="616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6"/>
      <c r="J421" s="616"/>
      <c r="K421" s="92"/>
      <c r="L421" s="92">
        <f t="shared" ca="1" si="73"/>
        <v>66560</v>
      </c>
      <c r="M421" s="92">
        <f t="shared" ca="1" si="73"/>
        <v>66560</v>
      </c>
      <c r="N421" s="92">
        <f t="shared" si="73"/>
        <v>66560</v>
      </c>
      <c r="O421" s="92">
        <f t="shared" ca="1" si="71"/>
        <v>100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66560</v>
      </c>
      <c r="M422" s="497">
        <f ca="1">M423+M424</f>
        <v>66560</v>
      </c>
      <c r="N422" s="497">
        <f>N423+N424</f>
        <v>66560</v>
      </c>
      <c r="O422" s="497">
        <f t="shared" ca="1" si="71"/>
        <v>100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6"/>
      <c r="J423" s="616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6"/>
      <c r="J424" s="616"/>
      <c r="K424" s="92"/>
      <c r="L424" s="92">
        <f ca="1">IFERROR(__xludf.DUMMYFUNCTION("IMPORTRANGE(""https://docs.google.com/spreadsheets/d/1QqKyyYR6Q21VydFLVH3TRQUabQu_ym0Zz7PgGX0-kHA/edit?usp=sharing"",""แผน!EY75"")"),66560)</f>
        <v>66560</v>
      </c>
      <c r="M424" s="92">
        <f ca="1">L424</f>
        <v>66560</v>
      </c>
      <c r="N424" s="92">
        <f>N425+N426+N427+N428</f>
        <v>66560</v>
      </c>
      <c r="O424" s="92">
        <f t="shared" ca="1" si="71"/>
        <v>100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73"/>
      <c r="B425" s="574"/>
      <c r="C425" s="762"/>
      <c r="D425" s="762"/>
      <c r="E425" s="762"/>
      <c r="F425" s="762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826">
        <v>42295</v>
      </c>
      <c r="O425" s="497"/>
      <c r="P425" s="497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826">
        <v>0</v>
      </c>
      <c r="O426" s="497"/>
      <c r="P426" s="497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826">
        <v>0</v>
      </c>
      <c r="O427" s="497"/>
      <c r="P427" s="497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3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826">
        <v>24265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IFERROR(__xludf.DUMMYFUNCTION("IMPORTRANGE(""https://docs.google.com/spreadsheets/d/1QqKyyYR6Q21VydFLVH3TRQUabQu_ym0Zz7PgGX0-kHA/edit?usp=sharing"",""แผน!FB75"")"),0)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4"/>
      <c r="B432" s="415"/>
      <c r="C432" s="147" t="s">
        <v>16</v>
      </c>
      <c r="D432" s="844" t="s">
        <v>38</v>
      </c>
      <c r="E432" s="579"/>
      <c r="F432" s="579"/>
      <c r="G432" s="580"/>
      <c r="H432" s="581"/>
      <c r="I432" s="420"/>
      <c r="J432" s="420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80">
        <f ca="1">I438+I440</f>
        <v>1</v>
      </c>
      <c r="J434" s="680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7" t="s">
        <v>192</v>
      </c>
      <c r="E435" s="177"/>
      <c r="F435" s="177"/>
      <c r="G435" s="178"/>
      <c r="H435" s="622" t="s">
        <v>35</v>
      </c>
      <c r="I435" s="582">
        <f ca="1">IFERROR(__xludf.DUMMYFUNCTION("IMPORTRANGE(""https://docs.google.com/spreadsheets/d/1QqKyyYR6Q21VydFLVH3TRQUabQu_ym0Zz7PgGX0-kHA/edit?usp=sharing"",""แผน!FC75"")"),15)</f>
        <v>15</v>
      </c>
      <c r="J435" s="583">
        <v>15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7" t="s">
        <v>193</v>
      </c>
      <c r="E436" s="177"/>
      <c r="F436" s="177"/>
      <c r="G436" s="178"/>
      <c r="H436" s="622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7" t="s">
        <v>194</v>
      </c>
      <c r="E437" s="177"/>
      <c r="F437" s="177"/>
      <c r="G437" s="178"/>
      <c r="H437" s="622" t="s">
        <v>35</v>
      </c>
      <c r="I437" s="582">
        <f ca="1">IFERROR(__xludf.DUMMYFUNCTION("IMPORTRANGE(""https://docs.google.com/spreadsheets/d/1QqKyyYR6Q21VydFLVH3TRQUabQu_ym0Zz7PgGX0-kHA/edit?usp=sharing"",""แผน!FD75"")"),0)</f>
        <v>0</v>
      </c>
      <c r="J437" s="583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7" t="s">
        <v>195</v>
      </c>
      <c r="E438" s="177"/>
      <c r="F438" s="177"/>
      <c r="G438" s="178"/>
      <c r="H438" s="622" t="s">
        <v>49</v>
      </c>
      <c r="I438" s="269">
        <f ca="1">IFERROR(__xludf.DUMMYFUNCTION("IMPORTRANGE(""https://docs.google.com/spreadsheets/d/1QqKyyYR6Q21VydFLVH3TRQUabQu_ym0Zz7PgGX0-kHA/edit?usp=sharing"",""แผน!FE75"")"),0)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7" t="s">
        <v>196</v>
      </c>
      <c r="E439" s="177"/>
      <c r="F439" s="177"/>
      <c r="G439" s="178"/>
      <c r="H439" s="622" t="s">
        <v>35</v>
      </c>
      <c r="I439" s="582">
        <f ca="1">IFERROR(__xludf.DUMMYFUNCTION("IMPORTRANGE(""https://docs.google.com/spreadsheets/d/1QqKyyYR6Q21VydFLVH3TRQUabQu_ym0Zz7PgGX0-kHA/edit?usp=sharing"",""แผน!FF75"")"),15)</f>
        <v>15</v>
      </c>
      <c r="J439" s="583">
        <v>15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7" t="s">
        <v>197</v>
      </c>
      <c r="E440" s="177"/>
      <c r="F440" s="177"/>
      <c r="G440" s="178"/>
      <c r="H440" s="622" t="s">
        <v>49</v>
      </c>
      <c r="I440" s="269">
        <f ca="1">IFERROR(__xludf.DUMMYFUNCTION("IMPORTRANGE(""https://docs.google.com/spreadsheets/d/1QqKyyYR6Q21VydFLVH3TRQUabQu_ym0Zz7PgGX0-kHA/edit?usp=sharing"",""แผน!FG75"")"),1)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7" t="s">
        <v>198</v>
      </c>
      <c r="E441" s="177"/>
      <c r="F441" s="177"/>
      <c r="G441" s="178"/>
      <c r="H441" s="622" t="s">
        <v>35</v>
      </c>
      <c r="I441" s="269">
        <f ca="1">IFERROR(__xludf.DUMMYFUNCTION("IMPORTRANGE(""https://docs.google.com/spreadsheets/d/1QqKyyYR6Q21VydFLVH3TRQUabQu_ym0Zz7PgGX0-kHA/edit?usp=sharing"",""แผน!FH75"")"),0)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84">
        <v>2</v>
      </c>
      <c r="B442" s="585" t="s">
        <v>199</v>
      </c>
      <c r="C442" s="586"/>
      <c r="D442" s="586"/>
      <c r="E442" s="586"/>
      <c r="F442" s="586"/>
      <c r="G442" s="587"/>
      <c r="H442" s="588" t="s">
        <v>35</v>
      </c>
      <c r="I442" s="589">
        <f ca="1">I460</f>
        <v>0</v>
      </c>
      <c r="J442" s="589">
        <f>J460</f>
        <v>0</v>
      </c>
      <c r="K442" s="590">
        <f t="shared" ca="1" si="7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ca="1">I462</f>
        <v>0</v>
      </c>
      <c r="J443" s="569">
        <f>J462</f>
        <v>0</v>
      </c>
      <c r="K443" s="570">
        <f t="shared" ca="1" si="7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887" t="s">
        <v>17</v>
      </c>
      <c r="E444" s="888"/>
      <c r="F444" s="888"/>
      <c r="G444" s="188"/>
      <c r="H444" s="597" t="s">
        <v>12</v>
      </c>
      <c r="I444" s="269"/>
      <c r="J444" s="269"/>
      <c r="K444" s="497"/>
      <c r="L444" s="194">
        <f ca="1">L445+L446</f>
        <v>0</v>
      </c>
      <c r="M444" s="194">
        <f>M445+M446</f>
        <v>0</v>
      </c>
      <c r="N444" s="194">
        <f>N445+N446</f>
        <v>0</v>
      </c>
      <c r="O444" s="194">
        <f t="shared" ref="O444:O449" ca="1" si="75">IF(L444&gt;0,N444*100/L444,0)</f>
        <v>0</v>
      </c>
      <c r="P444" s="194">
        <f t="shared" ref="P444:P449" si="76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184</v>
      </c>
      <c r="F445" s="758"/>
      <c r="G445" s="602"/>
      <c r="H445" s="164" t="s">
        <v>12</v>
      </c>
      <c r="I445" s="616"/>
      <c r="J445" s="616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185</v>
      </c>
      <c r="F446" s="758"/>
      <c r="G446" s="602"/>
      <c r="H446" s="164" t="s">
        <v>12</v>
      </c>
      <c r="I446" s="616"/>
      <c r="J446" s="616"/>
      <c r="K446" s="92"/>
      <c r="L446" s="92">
        <f t="shared" ca="1" si="77"/>
        <v>0</v>
      </c>
      <c r="M446" s="92">
        <f t="shared" si="77"/>
        <v>0</v>
      </c>
      <c r="N446" s="92">
        <f t="shared" si="77"/>
        <v>0</v>
      </c>
      <c r="O446" s="92">
        <f t="shared" ca="1" si="75"/>
        <v>0</v>
      </c>
      <c r="P446" s="92">
        <f t="shared" si="76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8"/>
      <c r="H447" s="160" t="s">
        <v>12</v>
      </c>
      <c r="I447" s="183"/>
      <c r="J447" s="183"/>
      <c r="K447" s="162"/>
      <c r="L447" s="497">
        <f ca="1">L448+L449</f>
        <v>0</v>
      </c>
      <c r="M447" s="497">
        <f>M448+M449</f>
        <v>0</v>
      </c>
      <c r="N447" s="497">
        <f>N448+N449</f>
        <v>0</v>
      </c>
      <c r="O447" s="497">
        <f t="shared" ca="1" si="75"/>
        <v>0</v>
      </c>
      <c r="P447" s="497">
        <f t="shared" si="76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184</v>
      </c>
      <c r="F448" s="758"/>
      <c r="G448" s="602"/>
      <c r="H448" s="164" t="s">
        <v>12</v>
      </c>
      <c r="I448" s="616"/>
      <c r="J448" s="616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185</v>
      </c>
      <c r="F449" s="758"/>
      <c r="G449" s="602"/>
      <c r="H449" s="164" t="s">
        <v>12</v>
      </c>
      <c r="I449" s="616"/>
      <c r="J449" s="616"/>
      <c r="K449" s="92"/>
      <c r="L449" s="92">
        <f ca="1">IFERROR(__xludf.DUMMYFUNCTION("IMPORTRANGE(""https://docs.google.com/spreadsheets/d/1QqKyyYR6Q21VydFLVH3TRQUabQu_ym0Zz7PgGX0-kHA/edit?usp=sharing"",""แผน!FJ75"")"),0)</f>
        <v>0</v>
      </c>
      <c r="M449" s="92">
        <v>0</v>
      </c>
      <c r="N449" s="92">
        <f>N450+N451+N452+N453</f>
        <v>0</v>
      </c>
      <c r="O449" s="92">
        <f t="shared" ca="1" si="75"/>
        <v>0</v>
      </c>
      <c r="P449" s="92">
        <f t="shared" si="76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826">
        <v>0</v>
      </c>
      <c r="O450" s="497"/>
      <c r="P450" s="497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826">
        <v>0</v>
      </c>
      <c r="O451" s="497"/>
      <c r="P451" s="497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826">
        <v>0</v>
      </c>
      <c r="O452" s="497"/>
      <c r="P452" s="497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826">
        <v>0</v>
      </c>
      <c r="O453" s="497"/>
      <c r="P453" s="497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IFERROR(__xludf.DUMMYFUNCTION("IMPORTRANGE(""https://docs.google.com/spreadsheets/d/1QqKyyYR6Q21VydFLVH3TRQUabQu_ym0Zz7PgGX0-kHA/edit?usp=sharing"",""แผน!FM75"")"),0)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40" t="s">
        <v>38</v>
      </c>
      <c r="E457" s="610"/>
      <c r="F457" s="760"/>
      <c r="G457" s="612"/>
      <c r="H457" s="761"/>
      <c r="I457" s="269"/>
      <c r="J457" s="269"/>
      <c r="K457" s="497"/>
      <c r="L457" s="497"/>
      <c r="M457" s="497"/>
      <c r="N457" s="497"/>
      <c r="O457" s="497"/>
      <c r="P457" s="497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200</v>
      </c>
      <c r="E458" s="615"/>
      <c r="F458" s="719"/>
      <c r="G458" s="365"/>
      <c r="H458" s="369" t="s">
        <v>35</v>
      </c>
      <c r="I458" s="616">
        <v>0</v>
      </c>
      <c r="J458" s="616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201</v>
      </c>
      <c r="E459" s="615"/>
      <c r="F459" s="719"/>
      <c r="G459" s="365"/>
      <c r="H459" s="369"/>
      <c r="I459" s="616"/>
      <c r="J459" s="616"/>
      <c r="K459" s="92"/>
      <c r="L459" s="92"/>
      <c r="M459" s="92"/>
      <c r="N459" s="92"/>
      <c r="O459" s="92"/>
      <c r="P459" s="92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202</v>
      </c>
      <c r="E460" s="617"/>
      <c r="F460" s="625"/>
      <c r="G460" s="761"/>
      <c r="H460" s="763" t="s">
        <v>35</v>
      </c>
      <c r="I460" s="269">
        <f ca="1">IFERROR(__xludf.DUMMYFUNCTION("IMPORTRANGE(""https://docs.google.com/spreadsheets/d/1QqKyyYR6Q21VydFLVH3TRQUabQu_ym0Zz7PgGX0-kHA/edit?usp=sharing"",""แผน!FN75"")"),0)</f>
        <v>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203</v>
      </c>
      <c r="E461" s="625"/>
      <c r="F461" s="625"/>
      <c r="G461" s="761"/>
      <c r="H461" s="763"/>
      <c r="I461" s="269"/>
      <c r="J461" s="269"/>
      <c r="K461" s="497"/>
      <c r="L461" s="497"/>
      <c r="M461" s="497"/>
      <c r="N461" s="497"/>
      <c r="O461" s="497"/>
      <c r="P461" s="497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204</v>
      </c>
      <c r="E462" s="625"/>
      <c r="F462" s="625"/>
      <c r="G462" s="761"/>
      <c r="H462" s="763" t="s">
        <v>46</v>
      </c>
      <c r="I462" s="269">
        <f ca="1">IFERROR(__xludf.DUMMYFUNCTION("IMPORTRANGE(""https://docs.google.com/spreadsheets/d/1QqKyyYR6Q21VydFLVH3TRQUabQu_ym0Zz7PgGX0-kHA/edit?usp=sharing"",""แผน!FO75"")"),0)</f>
        <v>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8"/>
      <c r="H463" s="763" t="s">
        <v>46</v>
      </c>
      <c r="I463" s="269">
        <f ca="1">IFERROR(__xludf.DUMMYFUNCTION("IMPORTRANGE(""https://docs.google.com/spreadsheets/d/1QqKyyYR6Q21VydFLVH3TRQUabQu_ym0Zz7PgGX0-kHA/edit?usp=sharing"",""แผน!FO75"")"),0)</f>
        <v>0</v>
      </c>
      <c r="J463" s="214">
        <v>0</v>
      </c>
      <c r="K463" s="497"/>
      <c r="L463" s="497"/>
      <c r="M463" s="497"/>
      <c r="N463" s="497"/>
      <c r="O463" s="497"/>
      <c r="P463" s="497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69">
        <f ca="1">IFERROR(__xludf.DUMMYFUNCTION("IMPORTRANGE(""https://docs.google.com/spreadsheets/d/1QqKyyYR6Q21VydFLVH3TRQUabQu_ym0Zz7PgGX0-kHA/edit?usp=sharing"",""แผน!FN75"")"),0)</f>
        <v>0</v>
      </c>
      <c r="J464" s="214">
        <v>0</v>
      </c>
      <c r="K464" s="497"/>
      <c r="L464" s="497"/>
      <c r="M464" s="497"/>
      <c r="N464" s="497"/>
      <c r="O464" s="497"/>
      <c r="P464" s="497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205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IFERROR(__xludf.DUMMYFUNCTION("IMPORTRANGE(""https://docs.google.com/spreadsheets/d/1QqKyyYR6Q21VydFLVH3TRQUabQu_ym0Zz7PgGX0-kHA/edit?usp=sharing"",""แผน!FX75"")"),31)</f>
        <v>31</v>
      </c>
      <c r="J465" s="589">
        <f>J485+J489+J492</f>
        <v>31</v>
      </c>
      <c r="K465" s="590">
        <f ca="1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IFERROR(__xludf.DUMMYFUNCTION("IMPORTRANGE(""https://docs.google.com/spreadsheets/d/1QqKyyYR6Q21VydFLVH3TRQUabQu_ym0Zz7PgGX0-kHA/edit?usp=sharing"",""แผน!FW75"")"),300)</f>
        <v>300</v>
      </c>
      <c r="J466" s="569">
        <f>J495+J498</f>
        <v>300</v>
      </c>
      <c r="K466" s="570">
        <f ca="1">IF(I466&gt;0,J466*100/I466,0)</f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87" t="s">
        <v>17</v>
      </c>
      <c r="E467" s="888"/>
      <c r="F467" s="888"/>
      <c r="G467" s="188"/>
      <c r="H467" s="597" t="s">
        <v>12</v>
      </c>
      <c r="I467" s="269"/>
      <c r="J467" s="269"/>
      <c r="K467" s="497"/>
      <c r="L467" s="194">
        <f ca="1">L468+L469</f>
        <v>250523</v>
      </c>
      <c r="M467" s="194">
        <f ca="1">M468+M469</f>
        <v>263283</v>
      </c>
      <c r="N467" s="194">
        <f>N468+N469</f>
        <v>263283</v>
      </c>
      <c r="O467" s="194">
        <f t="shared" ref="O467:O472" ca="1" si="78">IF(L467&gt;0,N467*100/L467,0)</f>
        <v>105.09334472283982</v>
      </c>
      <c r="P467" s="194">
        <f t="shared" ref="P467:P472" ca="1" si="79">IF(M467&gt;0,N467*100/M467,0)</f>
        <v>100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184</v>
      </c>
      <c r="F468" s="758"/>
      <c r="G468" s="602"/>
      <c r="H468" s="164" t="s">
        <v>12</v>
      </c>
      <c r="I468" s="616"/>
      <c r="J468" s="616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185</v>
      </c>
      <c r="F469" s="758"/>
      <c r="G469" s="602"/>
      <c r="H469" s="164" t="s">
        <v>12</v>
      </c>
      <c r="I469" s="616"/>
      <c r="J469" s="616"/>
      <c r="K469" s="92"/>
      <c r="L469" s="92">
        <f t="shared" ca="1" si="80"/>
        <v>250523</v>
      </c>
      <c r="M469" s="92">
        <f t="shared" ca="1" si="80"/>
        <v>263283</v>
      </c>
      <c r="N469" s="92">
        <f t="shared" si="80"/>
        <v>263283</v>
      </c>
      <c r="O469" s="92">
        <f t="shared" ca="1" si="78"/>
        <v>105.09334472283982</v>
      </c>
      <c r="P469" s="92">
        <f t="shared" ca="1" si="79"/>
        <v>100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8"/>
      <c r="H470" s="160" t="s">
        <v>12</v>
      </c>
      <c r="I470" s="183"/>
      <c r="J470" s="183"/>
      <c r="K470" s="162"/>
      <c r="L470" s="497">
        <f ca="1">L471+L472</f>
        <v>250523</v>
      </c>
      <c r="M470" s="497">
        <f ca="1">M471+M472</f>
        <v>263283</v>
      </c>
      <c r="N470" s="497">
        <f>N471+N472</f>
        <v>263283</v>
      </c>
      <c r="O470" s="497">
        <f t="shared" ca="1" si="78"/>
        <v>105.09334472283982</v>
      </c>
      <c r="P470" s="497">
        <f t="shared" ca="1" si="79"/>
        <v>100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184</v>
      </c>
      <c r="F471" s="758"/>
      <c r="G471" s="602"/>
      <c r="H471" s="164" t="s">
        <v>12</v>
      </c>
      <c r="I471" s="616"/>
      <c r="J471" s="616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185</v>
      </c>
      <c r="F472" s="758"/>
      <c r="G472" s="602"/>
      <c r="H472" s="164" t="s">
        <v>12</v>
      </c>
      <c r="I472" s="616"/>
      <c r="J472" s="616"/>
      <c r="K472" s="92"/>
      <c r="L472" s="92">
        <f ca="1">IFERROR(__xludf.DUMMYFUNCTION("IMPORTRANGE(""https://docs.google.com/spreadsheets/d/1QqKyyYR6Q21VydFLVH3TRQUabQu_ym0Zz7PgGX0-kHA/edit?usp=sharing"",""แผน!FS75"")"),250523)</f>
        <v>250523</v>
      </c>
      <c r="M472" s="92">
        <f ca="1">L472+12760</f>
        <v>263283</v>
      </c>
      <c r="N472" s="92">
        <f>N473+N474+N475+N476</f>
        <v>263283</v>
      </c>
      <c r="O472" s="92">
        <f t="shared" ca="1" si="78"/>
        <v>105.09334472283982</v>
      </c>
      <c r="P472" s="92">
        <f t="shared" ca="1" si="79"/>
        <v>100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826">
        <v>58592</v>
      </c>
      <c r="O473" s="497"/>
      <c r="P473" s="497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826">
        <v>190000</v>
      </c>
      <c r="O474" s="497"/>
      <c r="P474" s="497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826">
        <v>0</v>
      </c>
      <c r="O475" s="497"/>
      <c r="P475" s="497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826">
        <v>14691</v>
      </c>
      <c r="O476" s="497"/>
      <c r="P476" s="497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IFERROR(__xludf.DUMMYFUNCTION("IMPORTRANGE(""https://docs.google.com/spreadsheets/d/1QqKyyYR6Q21VydFLVH3TRQUabQu_ym0Zz7PgGX0-kHA/edit?usp=sharing"",""แผน!FV75"")"),0)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43" t="s">
        <v>38</v>
      </c>
      <c r="E480" s="610"/>
      <c r="F480" s="760"/>
      <c r="G480" s="612"/>
      <c r="H480" s="761"/>
      <c r="I480" s="269"/>
      <c r="J480" s="269"/>
      <c r="K480" s="497"/>
      <c r="L480" s="497"/>
      <c r="M480" s="497"/>
      <c r="N480" s="497"/>
      <c r="O480" s="497"/>
      <c r="P480" s="497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206</v>
      </c>
      <c r="E481" s="617"/>
      <c r="F481" s="617"/>
      <c r="G481" s="761"/>
      <c r="H481" s="188"/>
      <c r="I481" s="269"/>
      <c r="J481" s="269"/>
      <c r="K481" s="497"/>
      <c r="L481" s="497"/>
      <c r="M481" s="497"/>
      <c r="N481" s="497"/>
      <c r="O481" s="497"/>
      <c r="P481" s="497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207</v>
      </c>
      <c r="F482" s="617"/>
      <c r="G482" s="761"/>
      <c r="H482" s="188"/>
      <c r="I482" s="269"/>
      <c r="J482" s="269"/>
      <c r="K482" s="497"/>
      <c r="L482" s="497"/>
      <c r="M482" s="497"/>
      <c r="N482" s="497"/>
      <c r="O482" s="497"/>
      <c r="P482" s="497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208</v>
      </c>
      <c r="G483" s="761"/>
      <c r="H483" s="622" t="s">
        <v>46</v>
      </c>
      <c r="I483" s="269">
        <f ca="1">IFERROR(__xludf.DUMMYFUNCTION("IMPORTRANGE(""https://docs.google.com/spreadsheets/d/1QqKyyYR6Q21VydFLVH3TRQUabQu_ym0Zz7PgGX0-kHA/edit?usp=sharing"",""แผน!FY75"")"),270)</f>
        <v>270</v>
      </c>
      <c r="J483" s="214">
        <v>270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209</v>
      </c>
      <c r="G484" s="761"/>
      <c r="H484" s="622" t="s">
        <v>35</v>
      </c>
      <c r="I484" s="269"/>
      <c r="J484" s="214">
        <v>34</v>
      </c>
      <c r="K484" s="497"/>
      <c r="L484" s="497"/>
      <c r="M484" s="497"/>
      <c r="N484" s="497"/>
      <c r="O484" s="497"/>
      <c r="P484" s="497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210</v>
      </c>
      <c r="G485" s="761"/>
      <c r="H485" s="622" t="s">
        <v>35</v>
      </c>
      <c r="I485" s="269">
        <f ca="1">IFERROR(__xludf.DUMMYFUNCTION("IMPORTRANGE(""https://docs.google.com/spreadsheets/d/1QqKyyYR6Q21VydFLVH3TRQUabQu_ym0Zz7PgGX0-kHA/edit?usp=sharing"",""แผน!FZ75"")"),27)</f>
        <v>27</v>
      </c>
      <c r="J485" s="214">
        <v>27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69"/>
      <c r="J486" s="269"/>
      <c r="K486" s="497"/>
      <c r="L486" s="497"/>
      <c r="M486" s="497"/>
      <c r="N486" s="497"/>
      <c r="O486" s="497"/>
      <c r="P486" s="497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208</v>
      </c>
      <c r="G487" s="761"/>
      <c r="H487" s="622" t="s">
        <v>46</v>
      </c>
      <c r="I487" s="269">
        <f ca="1">IFERROR(__xludf.DUMMYFUNCTION("IMPORTRANGE(""https://docs.google.com/spreadsheets/d/1QqKyyYR6Q21VydFLVH3TRQUabQu_ym0Zz7PgGX0-kHA/edit?usp=sharing"",""แผน!GA75"")"),30)</f>
        <v>30</v>
      </c>
      <c r="J487" s="214">
        <v>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211</v>
      </c>
      <c r="G488" s="761"/>
      <c r="H488" s="622" t="s">
        <v>35</v>
      </c>
      <c r="I488" s="269"/>
      <c r="J488" s="214">
        <v>3</v>
      </c>
      <c r="K488" s="497"/>
      <c r="L488" s="497"/>
      <c r="M488" s="497"/>
      <c r="N488" s="497"/>
      <c r="O488" s="497"/>
      <c r="P488" s="497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212</v>
      </c>
      <c r="G489" s="761"/>
      <c r="H489" s="622" t="s">
        <v>35</v>
      </c>
      <c r="I489" s="269">
        <f ca="1">IFERROR(__xludf.DUMMYFUNCTION("IMPORTRANGE(""https://docs.google.com/spreadsheets/d/1QqKyyYR6Q21VydFLVH3TRQUabQu_ym0Zz7PgGX0-kHA/edit?usp=sharing"",""แผน!GB75"")"),3)</f>
        <v>3</v>
      </c>
      <c r="J489" s="214">
        <v>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69"/>
      <c r="J490" s="269"/>
      <c r="K490" s="497"/>
      <c r="L490" s="497"/>
      <c r="M490" s="497"/>
      <c r="N490" s="497"/>
      <c r="O490" s="497"/>
      <c r="P490" s="497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213</v>
      </c>
      <c r="G491" s="761"/>
      <c r="H491" s="622" t="s">
        <v>35</v>
      </c>
      <c r="I491" s="269"/>
      <c r="J491" s="214">
        <v>1</v>
      </c>
      <c r="K491" s="497"/>
      <c r="L491" s="497"/>
      <c r="M491" s="497"/>
      <c r="N491" s="497"/>
      <c r="O491" s="497"/>
      <c r="P491" s="497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214</v>
      </c>
      <c r="G492" s="761"/>
      <c r="H492" s="622" t="s">
        <v>35</v>
      </c>
      <c r="I492" s="269">
        <f ca="1">IFERROR(__xludf.DUMMYFUNCTION("IMPORTRANGE(""https://docs.google.com/spreadsheets/d/1QqKyyYR6Q21VydFLVH3TRQUabQu_ym0Zz7PgGX0-kHA/edit?usp=sharing"",""แผน!GC75"")"),1)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8"/>
      <c r="I493" s="269"/>
      <c r="J493" s="269"/>
      <c r="K493" s="497"/>
      <c r="L493" s="497"/>
      <c r="M493" s="497"/>
      <c r="N493" s="497"/>
      <c r="O493" s="497"/>
      <c r="P493" s="497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207</v>
      </c>
      <c r="F494" s="625"/>
      <c r="G494" s="761"/>
      <c r="H494" s="188"/>
      <c r="I494" s="269"/>
      <c r="J494" s="269"/>
      <c r="K494" s="497"/>
      <c r="L494" s="497"/>
      <c r="M494" s="497"/>
      <c r="N494" s="497"/>
      <c r="O494" s="497"/>
      <c r="P494" s="497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215</v>
      </c>
      <c r="G495" s="761"/>
      <c r="H495" s="622" t="s">
        <v>46</v>
      </c>
      <c r="I495" s="269">
        <f ca="1">IFERROR(__xludf.DUMMYFUNCTION("IMPORTRANGE(""https://docs.google.com/spreadsheets/d/1QqKyyYR6Q21VydFLVH3TRQUabQu_ym0Zz7PgGX0-kHA/edit?usp=sharing"",""แผน!FY75"")"),270)</f>
        <v>270</v>
      </c>
      <c r="J495" s="214">
        <v>270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216</v>
      </c>
      <c r="G496" s="761"/>
      <c r="H496" s="622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8"/>
      <c r="I497" s="269"/>
      <c r="J497" s="269"/>
      <c r="K497" s="497"/>
      <c r="L497" s="497"/>
      <c r="M497" s="497"/>
      <c r="N497" s="497"/>
      <c r="O497" s="497"/>
      <c r="P497" s="497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217</v>
      </c>
      <c r="G498" s="761"/>
      <c r="H498" s="622" t="s">
        <v>46</v>
      </c>
      <c r="I498" s="269">
        <f ca="1">IFERROR(__xludf.DUMMYFUNCTION("IMPORTRANGE(""https://docs.google.com/spreadsheets/d/1QqKyyYR6Q21VydFLVH3TRQUabQu_ym0Zz7PgGX0-kHA/edit?usp=sharing"",""แผน!GA75"")"),30)</f>
        <v>30</v>
      </c>
      <c r="J498" s="214">
        <v>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218</v>
      </c>
      <c r="G499" s="761"/>
      <c r="H499" s="622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219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>J516</f>
        <v>0</v>
      </c>
      <c r="K500" s="633">
        <f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220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>J517</f>
        <v>0</v>
      </c>
      <c r="K501" s="642">
        <f>IF(I501&gt;0,J501*100/I501,0)</f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92" t="s">
        <v>17</v>
      </c>
      <c r="E502" s="888"/>
      <c r="F502" s="888"/>
      <c r="G502" s="602"/>
      <c r="H502" s="645" t="s">
        <v>12</v>
      </c>
      <c r="I502" s="616"/>
      <c r="J502" s="616"/>
      <c r="K502" s="92"/>
      <c r="L502" s="646">
        <f>L503+L504</f>
        <v>0</v>
      </c>
      <c r="M502" s="646">
        <f>M503+M504</f>
        <v>0</v>
      </c>
      <c r="N502" s="646">
        <f>N503+N504</f>
        <v>0</v>
      </c>
      <c r="O502" s="646">
        <f t="shared" ref="O502:O507" si="81">IF(L502&gt;0,N502*100/L502,0)</f>
        <v>0</v>
      </c>
      <c r="P502" s="646">
        <f t="shared" ref="P502:P507" si="82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184</v>
      </c>
      <c r="F503" s="758"/>
      <c r="G503" s="602"/>
      <c r="H503" s="164" t="s">
        <v>12</v>
      </c>
      <c r="I503" s="616"/>
      <c r="J503" s="616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185</v>
      </c>
      <c r="F504" s="758"/>
      <c r="G504" s="602"/>
      <c r="H504" s="164" t="s">
        <v>12</v>
      </c>
      <c r="I504" s="616"/>
      <c r="J504" s="616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184</v>
      </c>
      <c r="F506" s="758"/>
      <c r="G506" s="602"/>
      <c r="H506" s="164" t="s">
        <v>12</v>
      </c>
      <c r="I506" s="616"/>
      <c r="J506" s="616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185</v>
      </c>
      <c r="F507" s="758"/>
      <c r="G507" s="602"/>
      <c r="H507" s="164" t="s">
        <v>12</v>
      </c>
      <c r="I507" s="616"/>
      <c r="J507" s="616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186</v>
      </c>
      <c r="G508" s="602"/>
      <c r="H508" s="164" t="s">
        <v>12</v>
      </c>
      <c r="I508" s="616"/>
      <c r="J508" s="616"/>
      <c r="K508" s="92"/>
      <c r="L508" s="92"/>
      <c r="M508" s="92"/>
      <c r="N508" s="92">
        <v>0</v>
      </c>
      <c r="O508" s="92"/>
      <c r="P508" s="92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187</v>
      </c>
      <c r="G509" s="602"/>
      <c r="H509" s="164" t="s">
        <v>12</v>
      </c>
      <c r="I509" s="616"/>
      <c r="J509" s="616"/>
      <c r="K509" s="92"/>
      <c r="L509" s="92"/>
      <c r="M509" s="92"/>
      <c r="N509" s="92">
        <v>0</v>
      </c>
      <c r="O509" s="92"/>
      <c r="P509" s="92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188</v>
      </c>
      <c r="G510" s="602"/>
      <c r="H510" s="164" t="s">
        <v>12</v>
      </c>
      <c r="I510" s="616"/>
      <c r="J510" s="616"/>
      <c r="K510" s="92"/>
      <c r="L510" s="92"/>
      <c r="M510" s="92"/>
      <c r="N510" s="92">
        <v>0</v>
      </c>
      <c r="O510" s="92"/>
      <c r="P510" s="92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189</v>
      </c>
      <c r="G511" s="602"/>
      <c r="H511" s="164" t="s">
        <v>12</v>
      </c>
      <c r="I511" s="616"/>
      <c r="J511" s="616"/>
      <c r="K511" s="92"/>
      <c r="L511" s="92"/>
      <c r="M511" s="92"/>
      <c r="N511" s="92">
        <v>0</v>
      </c>
      <c r="O511" s="92"/>
      <c r="P511" s="92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42" t="s">
        <v>38</v>
      </c>
      <c r="E515" s="650"/>
      <c r="F515" s="650"/>
      <c r="G515" s="651"/>
      <c r="H515" s="365"/>
      <c r="I515" s="165"/>
      <c r="J515" s="165"/>
      <c r="K515" s="166"/>
      <c r="L515" s="166"/>
      <c r="M515" s="166"/>
      <c r="N515" s="166"/>
      <c r="O515" s="166"/>
      <c r="P515" s="166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221</v>
      </c>
      <c r="E516" s="719"/>
      <c r="F516" s="719"/>
      <c r="G516" s="365"/>
      <c r="H516" s="652" t="s">
        <v>109</v>
      </c>
      <c r="I516" s="616"/>
      <c r="J516" s="616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222</v>
      </c>
      <c r="E517" s="719"/>
      <c r="F517" s="719"/>
      <c r="G517" s="365"/>
      <c r="H517" s="653" t="s">
        <v>35</v>
      </c>
      <c r="I517" s="654"/>
      <c r="J517" s="654">
        <f>J518+J519</f>
        <v>0</v>
      </c>
      <c r="K517" s="655">
        <f>IF(I517&gt;0,J517*100/I517,0)</f>
        <v>0</v>
      </c>
      <c r="L517" s="166"/>
      <c r="M517" s="166"/>
      <c r="N517" s="166"/>
      <c r="O517" s="166"/>
      <c r="P517" s="166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223</v>
      </c>
      <c r="F518" s="719"/>
      <c r="G518" s="365"/>
      <c r="H518" s="369" t="s">
        <v>35</v>
      </c>
      <c r="I518" s="616"/>
      <c r="J518" s="616"/>
      <c r="K518" s="166"/>
      <c r="L518" s="166"/>
      <c r="M518" s="166"/>
      <c r="N518" s="166"/>
      <c r="O518" s="166"/>
      <c r="P518" s="166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224</v>
      </c>
      <c r="F519" s="719"/>
      <c r="G519" s="365"/>
      <c r="H519" s="652" t="s">
        <v>35</v>
      </c>
      <c r="I519" s="616"/>
      <c r="J519" s="616"/>
      <c r="K519" s="166"/>
      <c r="L519" s="166"/>
      <c r="M519" s="166"/>
      <c r="N519" s="166"/>
      <c r="O519" s="166"/>
      <c r="P519" s="166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>
      <c r="A521" s="663">
        <v>5</v>
      </c>
      <c r="B521" s="664" t="s">
        <v>225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>
      <c r="A522" s="670"/>
      <c r="B522" s="671" t="s">
        <v>226</v>
      </c>
      <c r="C522" s="672"/>
      <c r="D522" s="672"/>
      <c r="E522" s="672"/>
      <c r="F522" s="672"/>
      <c r="G522" s="673"/>
      <c r="H522" s="674" t="s">
        <v>35</v>
      </c>
      <c r="I522" s="707">
        <f ca="1">I537</f>
        <v>80</v>
      </c>
      <c r="J522" s="707">
        <f ca="1">J537</f>
        <v>80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>
      <c r="A523" s="596"/>
      <c r="B523" s="762"/>
      <c r="C523" s="762" t="s">
        <v>16</v>
      </c>
      <c r="D523" s="887" t="s">
        <v>17</v>
      </c>
      <c r="E523" s="888"/>
      <c r="F523" s="888"/>
      <c r="G523" s="188"/>
      <c r="H523" s="597" t="s">
        <v>12</v>
      </c>
      <c r="I523" s="269"/>
      <c r="J523" s="269"/>
      <c r="K523" s="497"/>
      <c r="L523" s="194">
        <f ca="1">L524+L525</f>
        <v>667960</v>
      </c>
      <c r="M523" s="194">
        <f ca="1">M524+M525</f>
        <v>709260</v>
      </c>
      <c r="N523" s="194">
        <f>N524+N525</f>
        <v>709260</v>
      </c>
      <c r="O523" s="194">
        <f t="shared" ref="O523:O528" ca="1" si="84">IF(L523&gt;0,N523*100/L523,0)</f>
        <v>106.1830049703575</v>
      </c>
      <c r="P523" s="194">
        <f t="shared" ref="P523:P528" ca="1" si="85">IF(M523&gt;0,N523*100/M523,0)</f>
        <v>100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184</v>
      </c>
      <c r="F524" s="758"/>
      <c r="G524" s="602"/>
      <c r="H524" s="164" t="s">
        <v>12</v>
      </c>
      <c r="I524" s="616"/>
      <c r="J524" s="616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185</v>
      </c>
      <c r="F525" s="758"/>
      <c r="G525" s="602"/>
      <c r="H525" s="164" t="s">
        <v>12</v>
      </c>
      <c r="I525" s="616"/>
      <c r="J525" s="616"/>
      <c r="K525" s="92"/>
      <c r="L525" s="92">
        <f t="shared" ca="1" si="86"/>
        <v>667960</v>
      </c>
      <c r="M525" s="92">
        <f t="shared" ca="1" si="86"/>
        <v>709260</v>
      </c>
      <c r="N525" s="92">
        <f t="shared" si="86"/>
        <v>709260</v>
      </c>
      <c r="O525" s="92">
        <f t="shared" ca="1" si="84"/>
        <v>106.1830049703575</v>
      </c>
      <c r="P525" s="92">
        <f t="shared" ca="1" si="85"/>
        <v>100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>
      <c r="A526" s="596"/>
      <c r="B526" s="574"/>
      <c r="C526" s="762"/>
      <c r="D526" s="605" t="s">
        <v>20</v>
      </c>
      <c r="E526" s="762"/>
      <c r="F526" s="762"/>
      <c r="G526" s="188"/>
      <c r="H526" s="160" t="s">
        <v>12</v>
      </c>
      <c r="I526" s="183"/>
      <c r="J526" s="183"/>
      <c r="K526" s="162"/>
      <c r="L526" s="497">
        <f ca="1">L527+L528</f>
        <v>667960</v>
      </c>
      <c r="M526" s="497">
        <f ca="1">M527+M528</f>
        <v>709260</v>
      </c>
      <c r="N526" s="497">
        <f>N527+N528</f>
        <v>709260</v>
      </c>
      <c r="O526" s="497">
        <f t="shared" ca="1" si="84"/>
        <v>106.1830049703575</v>
      </c>
      <c r="P526" s="497">
        <f t="shared" ca="1" si="85"/>
        <v>100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184</v>
      </c>
      <c r="F527" s="758"/>
      <c r="G527" s="602"/>
      <c r="H527" s="164" t="s">
        <v>12</v>
      </c>
      <c r="I527" s="616"/>
      <c r="J527" s="616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185</v>
      </c>
      <c r="F528" s="758"/>
      <c r="G528" s="602"/>
      <c r="H528" s="164" t="s">
        <v>12</v>
      </c>
      <c r="I528" s="616"/>
      <c r="J528" s="616"/>
      <c r="K528" s="92"/>
      <c r="L528" s="92">
        <f ca="1">IFERROR(__xludf.DUMMYFUNCTION("IMPORTRANGE(""https://docs.google.com/spreadsheets/d/1QqKyyYR6Q21VydFLVH3TRQUabQu_ym0Zz7PgGX0-kHA/edit?usp=sharing"",""แผน!GQ75"")"),667960)</f>
        <v>667960</v>
      </c>
      <c r="M528" s="92">
        <f ca="1">L528+41300</f>
        <v>709260</v>
      </c>
      <c r="N528" s="92">
        <f>N529+N530+N531+N532</f>
        <v>709260</v>
      </c>
      <c r="O528" s="92">
        <f t="shared" ca="1" si="84"/>
        <v>106.1830049703575</v>
      </c>
      <c r="P528" s="92">
        <f t="shared" ca="1" si="85"/>
        <v>100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>
      <c r="A529" s="573"/>
      <c r="B529" s="574"/>
      <c r="C529" s="762"/>
      <c r="D529" s="762"/>
      <c r="E529" s="762"/>
      <c r="F529" s="762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826">
        <v>194120</v>
      </c>
      <c r="O529" s="497"/>
      <c r="P529" s="497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>
      <c r="A530" s="573"/>
      <c r="B530" s="574"/>
      <c r="C530" s="762"/>
      <c r="D530" s="762"/>
      <c r="E530" s="762"/>
      <c r="F530" s="762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826">
        <v>400151</v>
      </c>
      <c r="O530" s="497"/>
      <c r="P530" s="497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>
      <c r="A531" s="573"/>
      <c r="B531" s="574"/>
      <c r="C531" s="762"/>
      <c r="D531" s="762"/>
      <c r="E531" s="762"/>
      <c r="F531" s="762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826">
        <v>0</v>
      </c>
      <c r="O531" s="497"/>
      <c r="P531" s="497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>
      <c r="A532" s="573"/>
      <c r="B532" s="574"/>
      <c r="C532" s="762"/>
      <c r="D532" s="762"/>
      <c r="E532" s="762"/>
      <c r="F532" s="762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826">
        <v>114989</v>
      </c>
      <c r="O532" s="497"/>
      <c r="P532" s="497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>
      <c r="A533" s="596"/>
      <c r="B533" s="574"/>
      <c r="C533" s="762"/>
      <c r="D533" s="605" t="s">
        <v>21</v>
      </c>
      <c r="E533" s="762"/>
      <c r="F533" s="762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IFERROR(__xludf.DUMMYFUNCTION("IMPORTRANGE(""https://docs.google.com/spreadsheets/d/1QqKyyYR6Q21VydFLVH3TRQUabQu_ym0Zz7PgGX0-kHA/edit?usp=sharing"",""แผน!GT75"")"),0)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>
      <c r="A536" s="607"/>
      <c r="B536" s="617"/>
      <c r="C536" s="762" t="s">
        <v>16</v>
      </c>
      <c r="D536" s="841" t="s">
        <v>38</v>
      </c>
      <c r="E536" s="760"/>
      <c r="F536" s="760"/>
      <c r="G536" s="612"/>
      <c r="H536" s="761"/>
      <c r="I536" s="183"/>
      <c r="J536" s="183"/>
      <c r="K536" s="162"/>
      <c r="L536" s="162"/>
      <c r="M536" s="162"/>
      <c r="N536" s="162"/>
      <c r="O536" s="162"/>
      <c r="P536" s="162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>
      <c r="A537" s="573"/>
      <c r="B537" s="574"/>
      <c r="C537" s="762"/>
      <c r="D537" s="762" t="s">
        <v>227</v>
      </c>
      <c r="E537" s="762"/>
      <c r="F537" s="762"/>
      <c r="G537" s="188"/>
      <c r="H537" s="622" t="s">
        <v>35</v>
      </c>
      <c r="I537" s="680">
        <f ca="1">IFERROR(__xludf.DUMMYFUNCTION("IMPORTRANGE(""https://docs.google.com/spreadsheets/d/1QqKyyYR6Q21VydFLVH3TRQUabQu_ym0Zz7PgGX0-kHA/edit?usp=sharing"",""แผน!GU75"")"),80)</f>
        <v>80</v>
      </c>
      <c r="J537" s="680">
        <f ca="1">IF(AND(J538=I538,J539=I539,J540=I540,J541=I541),I537,0)</f>
        <v>80</v>
      </c>
      <c r="K537" s="497">
        <f t="shared" ref="K537:K543" ca="1" si="87">IF(I537&gt;0,J537*100/I537,0)</f>
        <v>100</v>
      </c>
      <c r="L537" s="497"/>
      <c r="M537" s="497"/>
      <c r="N537" s="497"/>
      <c r="O537" s="497"/>
      <c r="P537" s="497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>
      <c r="A538" s="573"/>
      <c r="B538" s="574"/>
      <c r="C538" s="762"/>
      <c r="D538" s="762"/>
      <c r="E538" s="762" t="s">
        <v>228</v>
      </c>
      <c r="F538" s="762"/>
      <c r="G538" s="188"/>
      <c r="H538" s="622" t="s">
        <v>35</v>
      </c>
      <c r="I538" s="269">
        <f ca="1">IFERROR(__xludf.DUMMYFUNCTION("IMPORTRANGE(""https://docs.google.com/spreadsheets/d/1QqKyyYR6Q21VydFLVH3TRQUabQu_ym0Zz7PgGX0-kHA/edit?usp=sharing"",""แผน!GV75"")"),80)</f>
        <v>80</v>
      </c>
      <c r="J538" s="214">
        <v>80</v>
      </c>
      <c r="K538" s="497">
        <f t="shared" ca="1" si="87"/>
        <v>100</v>
      </c>
      <c r="L538" s="497"/>
      <c r="M538" s="497"/>
      <c r="N538" s="497"/>
      <c r="O538" s="497"/>
      <c r="P538" s="497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>
      <c r="A539" s="573"/>
      <c r="B539" s="574"/>
      <c r="C539" s="762"/>
      <c r="D539" s="762"/>
      <c r="E539" s="762" t="s">
        <v>229</v>
      </c>
      <c r="F539" s="762"/>
      <c r="G539" s="188"/>
      <c r="H539" s="622" t="s">
        <v>35</v>
      </c>
      <c r="I539" s="269">
        <f ca="1">IFERROR(__xludf.DUMMYFUNCTION("IMPORTRANGE(""https://docs.google.com/spreadsheets/d/1QqKyyYR6Q21VydFLVH3TRQUabQu_ym0Zz7PgGX0-kHA/edit?usp=sharing"",""แผน!GW75"")"),80)</f>
        <v>80</v>
      </c>
      <c r="J539" s="214">
        <v>80</v>
      </c>
      <c r="K539" s="497">
        <f t="shared" ca="1" si="87"/>
        <v>100</v>
      </c>
      <c r="L539" s="497"/>
      <c r="M539" s="497"/>
      <c r="N539" s="497"/>
      <c r="O539" s="497"/>
      <c r="P539" s="497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>
      <c r="A540" s="573"/>
      <c r="B540" s="574"/>
      <c r="C540" s="762"/>
      <c r="D540" s="762"/>
      <c r="E540" s="762" t="s">
        <v>230</v>
      </c>
      <c r="F540" s="762"/>
      <c r="G540" s="188"/>
      <c r="H540" s="622" t="s">
        <v>35</v>
      </c>
      <c r="I540" s="269">
        <f ca="1">IFERROR(__xludf.DUMMYFUNCTION("IMPORTRANGE(""https://docs.google.com/spreadsheets/d/1QqKyyYR6Q21VydFLVH3TRQUabQu_ym0Zz7PgGX0-kHA/edit?usp=sharing"",""แผน!GX75"")"),80)</f>
        <v>80</v>
      </c>
      <c r="J540" s="214">
        <v>80</v>
      </c>
      <c r="K540" s="497">
        <f t="shared" ca="1" si="87"/>
        <v>100</v>
      </c>
      <c r="L540" s="497"/>
      <c r="M540" s="497"/>
      <c r="N540" s="497"/>
      <c r="O540" s="497"/>
      <c r="P540" s="497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>
      <c r="A541" s="573"/>
      <c r="B541" s="574"/>
      <c r="C541" s="762"/>
      <c r="D541" s="762"/>
      <c r="E541" s="768" t="s">
        <v>231</v>
      </c>
      <c r="F541" s="762"/>
      <c r="G541" s="188"/>
      <c r="H541" s="622" t="s">
        <v>35</v>
      </c>
      <c r="I541" s="269">
        <f ca="1">IFERROR(__xludf.DUMMYFUNCTION("IMPORTRANGE(""https://docs.google.com/spreadsheets/d/1QqKyyYR6Q21VydFLVH3TRQUabQu_ym0Zz7PgGX0-kHA/edit?usp=sharing"",""แผน!GY75"")"),0)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>
      <c r="A542" s="573"/>
      <c r="B542" s="574"/>
      <c r="C542" s="762"/>
      <c r="D542" s="762" t="s">
        <v>59</v>
      </c>
      <c r="E542" s="762"/>
      <c r="F542" s="762"/>
      <c r="G542" s="188"/>
      <c r="H542" s="622" t="s">
        <v>35</v>
      </c>
      <c r="I542" s="269">
        <f ca="1">IFERROR(__xludf.DUMMYFUNCTION("IMPORTRANGE(""https://docs.google.com/spreadsheets/d/1QqKyyYR6Q21VydFLVH3TRQUabQu_ym0Zz7PgGX0-kHA/edit?usp=sharing"",""แผน!GZ75"")"),80)</f>
        <v>80</v>
      </c>
      <c r="J542" s="214">
        <v>80</v>
      </c>
      <c r="K542" s="497">
        <f t="shared" ca="1" si="87"/>
        <v>100</v>
      </c>
      <c r="L542" s="497"/>
      <c r="M542" s="497"/>
      <c r="N542" s="497"/>
      <c r="O542" s="497"/>
      <c r="P542" s="497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232</v>
      </c>
      <c r="C543" s="666"/>
      <c r="D543" s="666"/>
      <c r="E543" s="666"/>
      <c r="F543" s="666"/>
      <c r="G543" s="667"/>
      <c r="H543" s="685" t="s">
        <v>46</v>
      </c>
      <c r="I543" s="686">
        <f ca="1">I559</f>
        <v>60297.315000000002</v>
      </c>
      <c r="J543" s="686">
        <f>J559</f>
        <v>60297.315000000002</v>
      </c>
      <c r="K543" s="687">
        <f t="shared" ca="1" si="87"/>
        <v>100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911" t="s">
        <v>17</v>
      </c>
      <c r="E544" s="890"/>
      <c r="F544" s="890"/>
      <c r="G544" s="690"/>
      <c r="H544" s="274" t="s">
        <v>12</v>
      </c>
      <c r="I544" s="420"/>
      <c r="J544" s="420"/>
      <c r="K544" s="153"/>
      <c r="L544" s="154">
        <f ca="1">L545+L546</f>
        <v>485574</v>
      </c>
      <c r="M544" s="154">
        <f ca="1">M545+M546</f>
        <v>479073.95</v>
      </c>
      <c r="N544" s="154">
        <f>N545+N546</f>
        <v>479073.95</v>
      </c>
      <c r="O544" s="154">
        <f t="shared" ref="O544:O549" ca="1" si="88">IF(L544&gt;0,N544*100/L544,0)</f>
        <v>98.661367783283296</v>
      </c>
      <c r="P544" s="154">
        <f t="shared" ref="P544:P549" ca="1" si="89">IF(M544&gt;0,N544*100/M544,0)</f>
        <v>100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184</v>
      </c>
      <c r="F545" s="758"/>
      <c r="G545" s="602"/>
      <c r="H545" s="164" t="s">
        <v>12</v>
      </c>
      <c r="I545" s="616"/>
      <c r="J545" s="616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185</v>
      </c>
      <c r="F546" s="758"/>
      <c r="G546" s="602"/>
      <c r="H546" s="164" t="s">
        <v>12</v>
      </c>
      <c r="I546" s="616"/>
      <c r="J546" s="616"/>
      <c r="K546" s="92"/>
      <c r="L546" s="92">
        <f ca="1">L549+L557</f>
        <v>485574</v>
      </c>
      <c r="M546" s="92">
        <f ca="1">M549+M556</f>
        <v>479073.95</v>
      </c>
      <c r="N546" s="92">
        <f>N549+N556</f>
        <v>479073.95</v>
      </c>
      <c r="O546" s="92">
        <f t="shared" ca="1" si="88"/>
        <v>98.661367783283296</v>
      </c>
      <c r="P546" s="92">
        <f t="shared" ca="1" si="89"/>
        <v>100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8"/>
      <c r="H547" s="160" t="s">
        <v>12</v>
      </c>
      <c r="I547" s="183"/>
      <c r="J547" s="183"/>
      <c r="K547" s="162"/>
      <c r="L547" s="497">
        <f ca="1">L548+L549</f>
        <v>485574</v>
      </c>
      <c r="M547" s="497">
        <f ca="1">M548+M549</f>
        <v>479073.95</v>
      </c>
      <c r="N547" s="497">
        <f>N548+N549</f>
        <v>479073.95</v>
      </c>
      <c r="O547" s="497">
        <f t="shared" ca="1" si="88"/>
        <v>98.661367783283296</v>
      </c>
      <c r="P547" s="497">
        <f t="shared" ca="1" si="89"/>
        <v>100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184</v>
      </c>
      <c r="F548" s="758"/>
      <c r="G548" s="602"/>
      <c r="H548" s="164" t="s">
        <v>12</v>
      </c>
      <c r="I548" s="616"/>
      <c r="J548" s="616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185</v>
      </c>
      <c r="F549" s="758"/>
      <c r="G549" s="602"/>
      <c r="H549" s="164" t="s">
        <v>12</v>
      </c>
      <c r="I549" s="616"/>
      <c r="J549" s="616"/>
      <c r="K549" s="92"/>
      <c r="L549" s="92">
        <f ca="1">IFERROR(__xludf.DUMMYFUNCTION("IMPORTRANGE(""https://docs.google.com/spreadsheets/d/1QqKyyYR6Q21VydFLVH3TRQUabQu_ym0Zz7PgGX0-kHA/edit?usp=sharing"",""แผน!HB75"")"),485574)</f>
        <v>485574</v>
      </c>
      <c r="M549" s="92">
        <f ca="1">L549-6500.05</f>
        <v>479073.95</v>
      </c>
      <c r="N549" s="92">
        <f>N550+N551+N552+N553+N554</f>
        <v>479073.95</v>
      </c>
      <c r="O549" s="92">
        <f t="shared" ca="1" si="88"/>
        <v>98.661367783283296</v>
      </c>
      <c r="P549" s="92">
        <f t="shared" ca="1" si="89"/>
        <v>100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826">
        <v>0</v>
      </c>
      <c r="O550" s="497"/>
      <c r="P550" s="497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826">
        <v>0</v>
      </c>
      <c r="O551" s="497"/>
      <c r="P551" s="497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826">
        <v>123499.95</v>
      </c>
      <c r="O552" s="497"/>
      <c r="P552" s="497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826">
        <f>329140.67+26433.33</f>
        <v>355574</v>
      </c>
      <c r="O553" s="497"/>
      <c r="P553" s="497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826">
        <v>0</v>
      </c>
      <c r="O554" s="497"/>
      <c r="P554" s="497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IFERROR(__xludf.DUMMYFUNCTION("IMPORTRANGE(""https://docs.google.com/spreadsheets/d/1QqKyyYR6Q21VydFLVH3TRQUabQu_ym0Zz7PgGX0-kHA/edit?usp=sharing"",""แผน!HF75"")"),0)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41" t="s">
        <v>38</v>
      </c>
      <c r="E558" s="760"/>
      <c r="F558" s="760"/>
      <c r="G558" s="612"/>
      <c r="H558" s="761"/>
      <c r="I558" s="183"/>
      <c r="J558" s="183"/>
      <c r="K558" s="162"/>
      <c r="L558" s="162"/>
      <c r="M558" s="162"/>
      <c r="N558" s="162"/>
      <c r="O558" s="162"/>
      <c r="P558" s="162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234</v>
      </c>
      <c r="C559" s="693"/>
      <c r="D559" s="693"/>
      <c r="E559" s="672"/>
      <c r="F559" s="672"/>
      <c r="G559" s="673"/>
      <c r="H559" s="694" t="s">
        <v>46</v>
      </c>
      <c r="I559" s="707">
        <f ca="1">I576</f>
        <v>60297.315000000002</v>
      </c>
      <c r="J559" s="707">
        <f>J576</f>
        <v>60297.315000000002</v>
      </c>
      <c r="K559" s="676">
        <f ca="1">IF(I559&gt;0,J559*100/I559,0)</f>
        <v>100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235</v>
      </c>
      <c r="D560" s="617"/>
      <c r="E560" s="625"/>
      <c r="F560" s="625"/>
      <c r="G560" s="761"/>
      <c r="H560" s="766" t="s">
        <v>46</v>
      </c>
      <c r="I560" s="192">
        <f ca="1">IFERROR(__xludf.DUMMYFUNCTION("IMPORTRANGE(""https://docs.google.com/spreadsheets/d/1QqKyyYR6Q21VydFLVH3TRQUabQu_ym0Zz7PgGX0-kHA/edit?usp=sharing"",""แผน!HH75"")"),60297.315)</f>
        <v>60297.315000000002</v>
      </c>
      <c r="J560" s="192">
        <f>J562+J564+J566</f>
        <v>60294.057000000001</v>
      </c>
      <c r="K560" s="411">
        <f ca="1">IF(I560&gt;0,J560*100/I560,0)</f>
        <v>99.994596774333985</v>
      </c>
      <c r="L560" s="162"/>
      <c r="M560" s="162"/>
      <c r="N560" s="162"/>
      <c r="O560" s="162"/>
      <c r="P560" s="162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2">
        <f ca="1">IFERROR(__xludf.DUMMYFUNCTION("IMPORTRANGE(""https://docs.google.com/spreadsheets/d/1QqKyyYR6Q21VydFLVH3TRQUabQu_ym0Zz7PgGX0-kHA/edit?usp=sharing"",""แผน!HG75"")"),5074)</f>
        <v>5074</v>
      </c>
      <c r="J561" s="192">
        <f>J563+J565+J567</f>
        <v>5074</v>
      </c>
      <c r="K561" s="411">
        <f ca="1">IF(I561&gt;0,J561*100/I561,0)</f>
        <v>100</v>
      </c>
      <c r="L561" s="162"/>
      <c r="M561" s="162"/>
      <c r="N561" s="162"/>
      <c r="O561" s="162"/>
      <c r="P561" s="162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236</v>
      </c>
      <c r="E562" s="625"/>
      <c r="F562" s="625"/>
      <c r="G562" s="761"/>
      <c r="H562" s="763" t="s">
        <v>46</v>
      </c>
      <c r="I562" s="183"/>
      <c r="J562" s="214">
        <v>54374.938999999998</v>
      </c>
      <c r="K562" s="162"/>
      <c r="L562" s="162"/>
      <c r="M562" s="162"/>
      <c r="N562" s="162"/>
      <c r="O562" s="162"/>
      <c r="P562" s="162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3"/>
      <c r="J563" s="214">
        <v>4674</v>
      </c>
      <c r="K563" s="162"/>
      <c r="L563" s="162"/>
      <c r="M563" s="162"/>
      <c r="N563" s="162"/>
      <c r="O563" s="162"/>
      <c r="P563" s="162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237</v>
      </c>
      <c r="E564" s="625"/>
      <c r="F564" s="625"/>
      <c r="G564" s="761"/>
      <c r="H564" s="763" t="s">
        <v>46</v>
      </c>
      <c r="I564" s="183"/>
      <c r="J564" s="214">
        <v>4746.7479999999996</v>
      </c>
      <c r="K564" s="162"/>
      <c r="L564" s="162"/>
      <c r="M564" s="162"/>
      <c r="N564" s="162"/>
      <c r="O564" s="162"/>
      <c r="P564" s="162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3"/>
      <c r="J565" s="214">
        <v>304</v>
      </c>
      <c r="K565" s="162"/>
      <c r="L565" s="162"/>
      <c r="M565" s="162"/>
      <c r="N565" s="162"/>
      <c r="O565" s="162"/>
      <c r="P565" s="162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238</v>
      </c>
      <c r="E566" s="625"/>
      <c r="F566" s="625"/>
      <c r="G566" s="761"/>
      <c r="H566" s="763" t="s">
        <v>46</v>
      </c>
      <c r="I566" s="183"/>
      <c r="J566" s="214">
        <v>1172.3699999999999</v>
      </c>
      <c r="K566" s="162"/>
      <c r="L566" s="162"/>
      <c r="M566" s="162"/>
      <c r="N566" s="162"/>
      <c r="O566" s="162"/>
      <c r="P566" s="162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3"/>
      <c r="J567" s="214">
        <v>96</v>
      </c>
      <c r="K567" s="162"/>
      <c r="L567" s="162"/>
      <c r="M567" s="162"/>
      <c r="N567" s="162"/>
      <c r="O567" s="162"/>
      <c r="P567" s="162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239</v>
      </c>
      <c r="D568" s="625"/>
      <c r="E568" s="625"/>
      <c r="F568" s="625"/>
      <c r="G568" s="761"/>
      <c r="H568" s="766" t="s">
        <v>46</v>
      </c>
      <c r="I568" s="192">
        <f ca="1">IFERROR(__xludf.DUMMYFUNCTION("IMPORTRANGE(""https://docs.google.com/spreadsheets/d/1QqKyyYR6Q21VydFLVH3TRQUabQu_ym0Zz7PgGX0-kHA/edit?usp=sharing"",""แผน!HH75"")"),60297.315)</f>
        <v>60297.315000000002</v>
      </c>
      <c r="J568" s="680">
        <f>J570+J572+J574</f>
        <v>60298</v>
      </c>
      <c r="K568" s="411">
        <f ca="1">IF(I568&gt;0,J568*100/I568,0)</f>
        <v>100.00113603731775</v>
      </c>
      <c r="L568" s="162"/>
      <c r="M568" s="162"/>
      <c r="N568" s="162"/>
      <c r="O568" s="162"/>
      <c r="P568" s="162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2">
        <f ca="1">IFERROR(__xludf.DUMMYFUNCTION("IMPORTRANGE(""https://docs.google.com/spreadsheets/d/1QqKyyYR6Q21VydFLVH3TRQUabQu_ym0Zz7PgGX0-kHA/edit?usp=sharing"",""แผน!HG75"")"),5074)</f>
        <v>5074</v>
      </c>
      <c r="J569" s="680">
        <f>J571+J573+J575</f>
        <v>5074</v>
      </c>
      <c r="K569" s="411">
        <f ca="1">IF(I569&gt;0,J569*100/I569,0)</f>
        <v>100</v>
      </c>
      <c r="L569" s="162"/>
      <c r="M569" s="162"/>
      <c r="N569" s="162"/>
      <c r="O569" s="162"/>
      <c r="P569" s="162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240</v>
      </c>
      <c r="E570" s="617"/>
      <c r="F570" s="625"/>
      <c r="G570" s="761"/>
      <c r="H570" s="763" t="s">
        <v>46</v>
      </c>
      <c r="I570" s="183"/>
      <c r="J570" s="214">
        <v>54686</v>
      </c>
      <c r="K570" s="162"/>
      <c r="L570" s="162"/>
      <c r="M570" s="162"/>
      <c r="N570" s="162"/>
      <c r="O570" s="162"/>
      <c r="P570" s="162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3"/>
      <c r="J571" s="214">
        <v>4700</v>
      </c>
      <c r="K571" s="162"/>
      <c r="L571" s="162"/>
      <c r="M571" s="162"/>
      <c r="N571" s="162"/>
      <c r="O571" s="162"/>
      <c r="P571" s="162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241</v>
      </c>
      <c r="E572" s="625"/>
      <c r="F572" s="625"/>
      <c r="G572" s="761"/>
      <c r="H572" s="763" t="s">
        <v>46</v>
      </c>
      <c r="I572" s="183"/>
      <c r="J572" s="214">
        <v>4461</v>
      </c>
      <c r="K572" s="162"/>
      <c r="L572" s="162"/>
      <c r="M572" s="162"/>
      <c r="N572" s="162"/>
      <c r="O572" s="162"/>
      <c r="P572" s="162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3"/>
      <c r="J573" s="214">
        <v>277</v>
      </c>
      <c r="K573" s="162"/>
      <c r="L573" s="162"/>
      <c r="M573" s="162"/>
      <c r="N573" s="162"/>
      <c r="O573" s="162"/>
      <c r="P573" s="162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242</v>
      </c>
      <c r="E574" s="625"/>
      <c r="F574" s="625"/>
      <c r="G574" s="761"/>
      <c r="H574" s="763" t="s">
        <v>46</v>
      </c>
      <c r="I574" s="183"/>
      <c r="J574" s="214">
        <v>1151</v>
      </c>
      <c r="K574" s="162"/>
      <c r="L574" s="162"/>
      <c r="M574" s="162"/>
      <c r="N574" s="162"/>
      <c r="O574" s="162"/>
      <c r="P574" s="162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3"/>
      <c r="J575" s="214">
        <v>97</v>
      </c>
      <c r="K575" s="162"/>
      <c r="L575" s="162"/>
      <c r="M575" s="162"/>
      <c r="N575" s="162"/>
      <c r="O575" s="162"/>
      <c r="P575" s="162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243</v>
      </c>
      <c r="D576" s="617"/>
      <c r="E576" s="617"/>
      <c r="F576" s="625"/>
      <c r="G576" s="761"/>
      <c r="H576" s="766" t="s">
        <v>46</v>
      </c>
      <c r="I576" s="192">
        <f ca="1">IFERROR(__xludf.DUMMYFUNCTION("IMPORTRANGE(""https://docs.google.com/spreadsheets/d/1QqKyyYR6Q21VydFLVH3TRQUabQu_ym0Zz7PgGX0-kHA/edit?usp=sharing"",""แผน!HH75"")"),60297.315)</f>
        <v>60297.315000000002</v>
      </c>
      <c r="J576" s="680">
        <f>J578+J580+J582+J588+J590</f>
        <v>60297.315000000002</v>
      </c>
      <c r="K576" s="411">
        <f ca="1">IF(I576&gt;0,J576*100/I576,0)</f>
        <v>100</v>
      </c>
      <c r="L576" s="162"/>
      <c r="M576" s="162"/>
      <c r="N576" s="162"/>
      <c r="O576" s="162"/>
      <c r="P576" s="162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2">
        <f ca="1">IFERROR(__xludf.DUMMYFUNCTION("IMPORTRANGE(""https://docs.google.com/spreadsheets/d/1QqKyyYR6Q21VydFLVH3TRQUabQu_ym0Zz7PgGX0-kHA/edit?usp=sharing"",""แผน!HG75"")"),5074)</f>
        <v>5074</v>
      </c>
      <c r="J577" s="680">
        <f>J579+J581+J583+J589+J591</f>
        <v>5074</v>
      </c>
      <c r="K577" s="411">
        <f ca="1">IF(I577&gt;0,J577*100/I577,0)</f>
        <v>100</v>
      </c>
      <c r="L577" s="162"/>
      <c r="M577" s="162"/>
      <c r="N577" s="162"/>
      <c r="O577" s="162"/>
      <c r="P577" s="162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244</v>
      </c>
      <c r="E578" s="625"/>
      <c r="F578" s="625"/>
      <c r="G578" s="761"/>
      <c r="H578" s="763" t="s">
        <v>46</v>
      </c>
      <c r="I578" s="183"/>
      <c r="J578" s="214">
        <v>56363.87</v>
      </c>
      <c r="K578" s="162"/>
      <c r="L578" s="162"/>
      <c r="M578" s="162"/>
      <c r="N578" s="162"/>
      <c r="O578" s="162"/>
      <c r="P578" s="162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3"/>
      <c r="J579" s="214">
        <v>4815</v>
      </c>
      <c r="K579" s="162"/>
      <c r="L579" s="162"/>
      <c r="M579" s="162"/>
      <c r="N579" s="162"/>
      <c r="O579" s="162"/>
      <c r="P579" s="162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245</v>
      </c>
      <c r="E580" s="625"/>
      <c r="F580" s="625"/>
      <c r="G580" s="761"/>
      <c r="H580" s="763" t="s">
        <v>46</v>
      </c>
      <c r="I580" s="183"/>
      <c r="J580" s="214">
        <v>92.882499999999993</v>
      </c>
      <c r="K580" s="162"/>
      <c r="L580" s="162"/>
      <c r="M580" s="162"/>
      <c r="N580" s="162"/>
      <c r="O580" s="162"/>
      <c r="P580" s="162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3"/>
      <c r="J581" s="214">
        <v>4</v>
      </c>
      <c r="K581" s="162"/>
      <c r="L581" s="162"/>
      <c r="M581" s="162"/>
      <c r="N581" s="162"/>
      <c r="O581" s="162"/>
      <c r="P581" s="162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246</v>
      </c>
      <c r="E582" s="625"/>
      <c r="F582" s="625"/>
      <c r="G582" s="761"/>
      <c r="H582" s="763" t="s">
        <v>46</v>
      </c>
      <c r="I582" s="183"/>
      <c r="J582" s="680">
        <f>J584+J586</f>
        <v>1141.2325000000001</v>
      </c>
      <c r="K582" s="411"/>
      <c r="L582" s="162"/>
      <c r="M582" s="162"/>
      <c r="N582" s="162"/>
      <c r="O582" s="162"/>
      <c r="P582" s="162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3"/>
      <c r="J583" s="680">
        <f>J585+J587</f>
        <v>96</v>
      </c>
      <c r="K583" s="411"/>
      <c r="L583" s="162"/>
      <c r="M583" s="162"/>
      <c r="N583" s="162"/>
      <c r="O583" s="162"/>
      <c r="P583" s="162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247</v>
      </c>
      <c r="F584" s="625"/>
      <c r="G584" s="761"/>
      <c r="H584" s="763" t="s">
        <v>46</v>
      </c>
      <c r="I584" s="183"/>
      <c r="J584" s="214">
        <v>1141.2325000000001</v>
      </c>
      <c r="K584" s="162"/>
      <c r="L584" s="162"/>
      <c r="M584" s="162"/>
      <c r="N584" s="162"/>
      <c r="O584" s="162"/>
      <c r="P584" s="162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3"/>
      <c r="J585" s="214">
        <v>96</v>
      </c>
      <c r="K585" s="162"/>
      <c r="L585" s="162"/>
      <c r="M585" s="162"/>
      <c r="N585" s="162"/>
      <c r="O585" s="162"/>
      <c r="P585" s="162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248</v>
      </c>
      <c r="F586" s="625"/>
      <c r="G586" s="761"/>
      <c r="H586" s="763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249</v>
      </c>
      <c r="E588" s="625"/>
      <c r="F588" s="625"/>
      <c r="G588" s="761"/>
      <c r="H588" s="763" t="s">
        <v>46</v>
      </c>
      <c r="I588" s="183"/>
      <c r="J588" s="214">
        <v>2699.33</v>
      </c>
      <c r="K588" s="162"/>
      <c r="L588" s="162"/>
      <c r="M588" s="162"/>
      <c r="N588" s="162"/>
      <c r="O588" s="162"/>
      <c r="P588" s="162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3"/>
      <c r="J589" s="214">
        <v>159</v>
      </c>
      <c r="K589" s="162"/>
      <c r="L589" s="162"/>
      <c r="M589" s="162"/>
      <c r="N589" s="162"/>
      <c r="O589" s="162"/>
      <c r="P589" s="162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250</v>
      </c>
      <c r="E590" s="625"/>
      <c r="F590" s="625"/>
      <c r="G590" s="761"/>
      <c r="H590" s="763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251</v>
      </c>
      <c r="C592" s="693"/>
      <c r="D592" s="693"/>
      <c r="E592" s="672"/>
      <c r="F592" s="672"/>
      <c r="G592" s="673"/>
      <c r="H592" s="694" t="s">
        <v>46</v>
      </c>
      <c r="I592" s="702">
        <f ca="1">I593</f>
        <v>3453.6</v>
      </c>
      <c r="J592" s="707">
        <f>J593</f>
        <v>3453.5949999999998</v>
      </c>
      <c r="K592" s="676">
        <f ca="1">IF(I592&gt;0,J592*100/I592,0)</f>
        <v>99.999855223534865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252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IFERROR(__xludf.DUMMYFUNCTION("IMPORTRANGE(""https://docs.google.com/spreadsheets/d/1QqKyyYR6Q21VydFLVH3TRQUabQu_ym0Zz7PgGX0-kHA/edit?usp=sharing"",""แผน!HJ75"")"),3453.6)</f>
        <v>3453.6</v>
      </c>
      <c r="J593" s="192">
        <f>J595+J603+J609</f>
        <v>3453.5949999999998</v>
      </c>
      <c r="K593" s="411">
        <f ca="1">IF(I593&gt;0,J593*100/I593,0)</f>
        <v>99.999855223534865</v>
      </c>
      <c r="L593" s="162"/>
      <c r="M593" s="162"/>
      <c r="N593" s="162"/>
      <c r="O593" s="162"/>
      <c r="P593" s="162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2">
        <f ca="1">IFERROR(__xludf.DUMMYFUNCTION("IMPORTRANGE(""https://docs.google.com/spreadsheets/d/1QqKyyYR6Q21VydFLVH3TRQUabQu_ym0Zz7PgGX0-kHA/edit?usp=sharing"",""แผน!HI75"")"),210)</f>
        <v>210</v>
      </c>
      <c r="J594" s="192">
        <f>J596+J604+J610</f>
        <v>210</v>
      </c>
      <c r="K594" s="411">
        <f ca="1">IF(I594&gt;0,J594*100/I594,0)</f>
        <v>100</v>
      </c>
      <c r="L594" s="162"/>
      <c r="M594" s="162"/>
      <c r="N594" s="162"/>
      <c r="O594" s="162"/>
      <c r="P594" s="162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253</v>
      </c>
      <c r="D595" s="617"/>
      <c r="E595" s="617"/>
      <c r="F595" s="625"/>
      <c r="G595" s="761"/>
      <c r="H595" s="763" t="s">
        <v>46</v>
      </c>
      <c r="I595" s="183"/>
      <c r="J595" s="183">
        <f>J597+J599</f>
        <v>3405.2275</v>
      </c>
      <c r="K595" s="162"/>
      <c r="L595" s="162"/>
      <c r="M595" s="162"/>
      <c r="N595" s="162"/>
      <c r="O595" s="162"/>
      <c r="P595" s="162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3"/>
      <c r="J596" s="183">
        <f>J598+J600</f>
        <v>208</v>
      </c>
      <c r="K596" s="162"/>
      <c r="L596" s="162"/>
      <c r="M596" s="162"/>
      <c r="N596" s="162"/>
      <c r="O596" s="162"/>
      <c r="P596" s="162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254</v>
      </c>
      <c r="E597" s="625"/>
      <c r="F597" s="625"/>
      <c r="G597" s="761"/>
      <c r="H597" s="763" t="s">
        <v>46</v>
      </c>
      <c r="I597" s="183"/>
      <c r="J597" s="214">
        <v>3405.2275</v>
      </c>
      <c r="K597" s="162"/>
      <c r="L597" s="162"/>
      <c r="M597" s="162"/>
      <c r="N597" s="162"/>
      <c r="O597" s="162"/>
      <c r="P597" s="162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69"/>
      <c r="J598" s="214">
        <v>208</v>
      </c>
      <c r="K598" s="162"/>
      <c r="L598" s="162"/>
      <c r="M598" s="162"/>
      <c r="N598" s="162"/>
      <c r="O598" s="162"/>
      <c r="P598" s="162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255</v>
      </c>
      <c r="E599" s="625"/>
      <c r="F599" s="625"/>
      <c r="G599" s="761"/>
      <c r="H599" s="763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256</v>
      </c>
      <c r="E601" s="625"/>
      <c r="F601" s="625"/>
      <c r="G601" s="761"/>
      <c r="H601" s="763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257</v>
      </c>
      <c r="D603" s="617"/>
      <c r="E603" s="617"/>
      <c r="F603" s="625"/>
      <c r="G603" s="761"/>
      <c r="H603" s="763" t="s">
        <v>46</v>
      </c>
      <c r="I603" s="269"/>
      <c r="J603" s="269">
        <f>J605+J607</f>
        <v>48.3675</v>
      </c>
      <c r="K603" s="162"/>
      <c r="L603" s="162"/>
      <c r="M603" s="162"/>
      <c r="N603" s="162"/>
      <c r="O603" s="162"/>
      <c r="P603" s="162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69"/>
      <c r="J604" s="269">
        <f>J606+J608</f>
        <v>2</v>
      </c>
      <c r="K604" s="162"/>
      <c r="L604" s="162"/>
      <c r="M604" s="162"/>
      <c r="N604" s="162"/>
      <c r="O604" s="162"/>
      <c r="P604" s="162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258</v>
      </c>
      <c r="E605" s="625"/>
      <c r="F605" s="625"/>
      <c r="G605" s="761"/>
      <c r="H605" s="763" t="s">
        <v>46</v>
      </c>
      <c r="I605" s="269"/>
      <c r="J605" s="214">
        <v>48.3675</v>
      </c>
      <c r="K605" s="162"/>
      <c r="L605" s="162"/>
      <c r="M605" s="162"/>
      <c r="N605" s="162"/>
      <c r="O605" s="162"/>
      <c r="P605" s="162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69"/>
      <c r="J606" s="214">
        <v>2</v>
      </c>
      <c r="K606" s="162"/>
      <c r="L606" s="162"/>
      <c r="M606" s="162"/>
      <c r="N606" s="162"/>
      <c r="O606" s="162"/>
      <c r="P606" s="162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259</v>
      </c>
      <c r="E607" s="617"/>
      <c r="F607" s="625"/>
      <c r="G607" s="761"/>
      <c r="H607" s="763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260</v>
      </c>
      <c r="D609" s="617"/>
      <c r="E609" s="617"/>
      <c r="F609" s="625"/>
      <c r="G609" s="761"/>
      <c r="H609" s="763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1"/>
      <c r="B611" s="705" t="s">
        <v>261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262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>J614+J616</f>
        <v>0</v>
      </c>
      <c r="K612" s="716">
        <f>IF(I612&gt;0,J612*100/I612,0)</f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263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>J615+J617</f>
        <v>0</v>
      </c>
      <c r="K613" s="716">
        <f>IF(I613&gt;0,J613*100/I613,0)</f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264</v>
      </c>
      <c r="E614" s="615"/>
      <c r="F614" s="719"/>
      <c r="G614" s="365"/>
      <c r="H614" s="369" t="s">
        <v>46</v>
      </c>
      <c r="I614" s="616"/>
      <c r="J614" s="616">
        <v>0</v>
      </c>
      <c r="K614" s="166"/>
      <c r="L614" s="166"/>
      <c r="M614" s="166"/>
      <c r="N614" s="166"/>
      <c r="O614" s="166"/>
      <c r="P614" s="166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5"/>
      <c r="H615" s="369" t="s">
        <v>34</v>
      </c>
      <c r="I615" s="616"/>
      <c r="J615" s="616">
        <v>0</v>
      </c>
      <c r="K615" s="166"/>
      <c r="L615" s="166"/>
      <c r="M615" s="166"/>
      <c r="N615" s="166"/>
      <c r="O615" s="166"/>
      <c r="P615" s="166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264</v>
      </c>
      <c r="E616" s="719"/>
      <c r="F616" s="719"/>
      <c r="G616" s="365"/>
      <c r="H616" s="369" t="s">
        <v>46</v>
      </c>
      <c r="I616" s="616"/>
      <c r="J616" s="616">
        <v>0</v>
      </c>
      <c r="K616" s="166"/>
      <c r="L616" s="166"/>
      <c r="M616" s="166"/>
      <c r="N616" s="166"/>
      <c r="O616" s="166"/>
      <c r="P616" s="166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5"/>
      <c r="H617" s="369" t="s">
        <v>34</v>
      </c>
      <c r="I617" s="616"/>
      <c r="J617" s="616">
        <v>0</v>
      </c>
      <c r="K617" s="166"/>
      <c r="L617" s="166"/>
      <c r="M617" s="166"/>
      <c r="N617" s="166"/>
      <c r="O617" s="166"/>
      <c r="P617" s="166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265</v>
      </c>
      <c r="E618" s="719"/>
      <c r="F618" s="719"/>
      <c r="G618" s="365"/>
      <c r="H618" s="369" t="s">
        <v>46</v>
      </c>
      <c r="I618" s="616"/>
      <c r="J618" s="616">
        <v>0</v>
      </c>
      <c r="K618" s="166"/>
      <c r="L618" s="166"/>
      <c r="M618" s="166"/>
      <c r="N618" s="166"/>
      <c r="O618" s="166"/>
      <c r="P618" s="166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5"/>
      <c r="H619" s="369" t="s">
        <v>34</v>
      </c>
      <c r="I619" s="616"/>
      <c r="J619" s="616">
        <v>0</v>
      </c>
      <c r="K619" s="166"/>
      <c r="L619" s="166"/>
      <c r="M619" s="166"/>
      <c r="N619" s="166"/>
      <c r="O619" s="166"/>
      <c r="P619" s="166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1"/>
      <c r="B620" s="730"/>
      <c r="C620" s="723" t="s">
        <v>266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IFERROR(__xludf.DUMMYFUNCTION("IMPORTRANGE(""https://docs.google.com/spreadsheets/d/1QqKyyYR6Q21VydFLVH3TRQUabQu_ym0Zz7PgGX0-kHA/edit?usp=sharing"",""แผน!HL75"")"),61)</f>
        <v>61</v>
      </c>
      <c r="J620" s="727">
        <f>J622+J624+J626</f>
        <v>61</v>
      </c>
      <c r="K620" s="728">
        <f ca="1">IF(I620&gt;0,J620*100/I620,0)</f>
        <v>100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1"/>
      <c r="B621" s="730"/>
      <c r="C621" s="730" t="s">
        <v>267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IFERROR(__xludf.DUMMYFUNCTION("IMPORTRANGE(""https://docs.google.com/spreadsheets/d/1QqKyyYR6Q21VydFLVH3TRQUabQu_ym0Zz7PgGX0-kHA/edit?usp=sharing"",""แผน!HK75"")"),9)</f>
        <v>9</v>
      </c>
      <c r="J621" s="727">
        <f>J623+J625+J627</f>
        <v>9</v>
      </c>
      <c r="K621" s="728">
        <f ca="1">IF(I621&gt;0,J621*100/I621,0)</f>
        <v>100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5" t="s">
        <v>268</v>
      </c>
      <c r="E622" s="625"/>
      <c r="F622" s="625"/>
      <c r="G622" s="761"/>
      <c r="H622" s="763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69"/>
      <c r="J623" s="214">
        <v>6</v>
      </c>
      <c r="K623" s="162"/>
      <c r="L623" s="162"/>
      <c r="M623" s="162"/>
      <c r="N623" s="162"/>
      <c r="O623" s="162"/>
      <c r="P623" s="162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5" t="s">
        <v>264</v>
      </c>
      <c r="E624" s="625"/>
      <c r="F624" s="625"/>
      <c r="G624" s="761"/>
      <c r="H624" s="763" t="s">
        <v>46</v>
      </c>
      <c r="I624" s="269"/>
      <c r="J624" s="214">
        <v>60</v>
      </c>
      <c r="K624" s="162"/>
      <c r="L624" s="162"/>
      <c r="M624" s="162"/>
      <c r="N624" s="162"/>
      <c r="O624" s="162"/>
      <c r="P624" s="162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5" t="s">
        <v>269</v>
      </c>
      <c r="E626" s="625"/>
      <c r="F626" s="625"/>
      <c r="G626" s="761"/>
      <c r="H626" s="763" t="s">
        <v>46</v>
      </c>
      <c r="I626" s="269"/>
      <c r="J626" s="214">
        <v>1</v>
      </c>
      <c r="K626" s="162"/>
      <c r="L626" s="162"/>
      <c r="M626" s="162"/>
      <c r="N626" s="162"/>
      <c r="O626" s="162"/>
      <c r="P626" s="162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1"/>
      <c r="B627" s="732"/>
      <c r="C627" s="732"/>
      <c r="D627" s="732"/>
      <c r="E627" s="733"/>
      <c r="F627" s="733"/>
      <c r="G627" s="734"/>
      <c r="H627" s="422" t="s">
        <v>34</v>
      </c>
      <c r="I627" s="505"/>
      <c r="J627" s="424">
        <v>3</v>
      </c>
      <c r="K627" s="384"/>
      <c r="L627" s="384"/>
      <c r="M627" s="384"/>
      <c r="N627" s="384"/>
      <c r="O627" s="384"/>
      <c r="P627" s="384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270</v>
      </c>
      <c r="C628" s="737"/>
      <c r="D628" s="737"/>
      <c r="E628" s="737"/>
      <c r="F628" s="737"/>
      <c r="G628" s="738"/>
      <c r="H628" s="739" t="s">
        <v>35</v>
      </c>
      <c r="I628" s="740">
        <f ca="1">I651</f>
        <v>0</v>
      </c>
      <c r="J628" s="740">
        <f ca="1">J651</f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887" t="s">
        <v>17</v>
      </c>
      <c r="E629" s="888"/>
      <c r="F629" s="888"/>
      <c r="G629" s="188"/>
      <c r="H629" s="597" t="s">
        <v>12</v>
      </c>
      <c r="I629" s="269"/>
      <c r="J629" s="269"/>
      <c r="K629" s="497"/>
      <c r="L629" s="194">
        <f ca="1">L630+L631</f>
        <v>252900</v>
      </c>
      <c r="M629" s="194">
        <f ca="1">M630+M631</f>
        <v>0</v>
      </c>
      <c r="N629" s="194">
        <f>N630+N631</f>
        <v>0</v>
      </c>
      <c r="O629" s="194">
        <f t="shared" ref="O629:O634" ca="1" si="90">IF(L629&gt;0,N629*100/L629,0)</f>
        <v>0</v>
      </c>
      <c r="P629" s="194">
        <f t="shared" ref="P629:P634" ca="1" si="91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184</v>
      </c>
      <c r="F630" s="758"/>
      <c r="G630" s="602"/>
      <c r="H630" s="164" t="s">
        <v>12</v>
      </c>
      <c r="I630" s="616"/>
      <c r="J630" s="616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185</v>
      </c>
      <c r="F631" s="758"/>
      <c r="G631" s="602"/>
      <c r="H631" s="164" t="s">
        <v>12</v>
      </c>
      <c r="I631" s="616"/>
      <c r="J631" s="616"/>
      <c r="K631" s="92"/>
      <c r="L631" s="92">
        <f t="shared" ca="1" si="92"/>
        <v>252900</v>
      </c>
      <c r="M631" s="92">
        <f t="shared" ca="1" si="92"/>
        <v>0</v>
      </c>
      <c r="N631" s="92">
        <f t="shared" si="92"/>
        <v>0</v>
      </c>
      <c r="O631" s="92">
        <f t="shared" ca="1" si="90"/>
        <v>0</v>
      </c>
      <c r="P631" s="92">
        <f t="shared" ca="1" si="91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8"/>
      <c r="H632" s="160" t="s">
        <v>12</v>
      </c>
      <c r="I632" s="183"/>
      <c r="J632" s="183"/>
      <c r="K632" s="162"/>
      <c r="L632" s="497">
        <f ca="1">L633+L634</f>
        <v>252900</v>
      </c>
      <c r="M632" s="497">
        <f ca="1">M633+M634</f>
        <v>0</v>
      </c>
      <c r="N632" s="497">
        <f>N633+N634</f>
        <v>0</v>
      </c>
      <c r="O632" s="497">
        <f t="shared" ca="1" si="90"/>
        <v>0</v>
      </c>
      <c r="P632" s="497">
        <f t="shared" ca="1" si="91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184</v>
      </c>
      <c r="F633" s="758"/>
      <c r="G633" s="602"/>
      <c r="H633" s="164" t="s">
        <v>12</v>
      </c>
      <c r="I633" s="616"/>
      <c r="J633" s="616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185</v>
      </c>
      <c r="F634" s="758"/>
      <c r="G634" s="602"/>
      <c r="H634" s="164" t="s">
        <v>12</v>
      </c>
      <c r="I634" s="616"/>
      <c r="J634" s="616"/>
      <c r="K634" s="92"/>
      <c r="L634" s="92">
        <f ca="1">IFERROR(__xludf.DUMMYFUNCTION("IMPORTRANGE(""https://docs.google.com/spreadsheets/d/1QqKyyYR6Q21VydFLVH3TRQUabQu_ym0Zz7PgGX0-kHA/edit?usp=sharing"",""แผน!HN75"")"),252900)</f>
        <v>252900</v>
      </c>
      <c r="M634" s="92">
        <f ca="1">L634-252900</f>
        <v>0</v>
      </c>
      <c r="N634" s="92">
        <f>N635+N636+N637+N638</f>
        <v>0</v>
      </c>
      <c r="O634" s="92">
        <f t="shared" ca="1" si="90"/>
        <v>0</v>
      </c>
      <c r="P634" s="92">
        <f t="shared" ca="1" si="91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826">
        <v>0</v>
      </c>
      <c r="O635" s="497"/>
      <c r="P635" s="497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826">
        <v>0</v>
      </c>
      <c r="O636" s="497"/>
      <c r="P636" s="497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826">
        <v>0</v>
      </c>
      <c r="O637" s="497"/>
      <c r="P637" s="497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826">
        <v>0</v>
      </c>
      <c r="O638" s="497"/>
      <c r="P638" s="497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IFERROR(__xludf.DUMMYFUNCTION("IMPORTRANGE(""https://docs.google.com/spreadsheets/d/1QqKyyYR6Q21VydFLVH3TRQUabQu_ym0Zz7PgGX0-kHA/edit?usp=sharing"",""แผน!HQ75"")"),0)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41" t="s">
        <v>38</v>
      </c>
      <c r="E642" s="760"/>
      <c r="F642" s="760"/>
      <c r="G642" s="612"/>
      <c r="H642" s="761"/>
      <c r="I642" s="183"/>
      <c r="J642" s="183"/>
      <c r="K642" s="162"/>
      <c r="L642" s="162"/>
      <c r="M642" s="162"/>
      <c r="N642" s="162"/>
      <c r="O642" s="162"/>
      <c r="P642" s="162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271</v>
      </c>
      <c r="F643" s="625"/>
      <c r="G643" s="761"/>
      <c r="H643" s="763" t="s">
        <v>272</v>
      </c>
      <c r="I643" s="269">
        <f ca="1">IFERROR(__xludf.DUMMYFUNCTION("IMPORTRANGE(""https://docs.google.com/spreadsheets/d/1QqKyyYR6Q21VydFLVH3TRQUabQu_ym0Zz7PgGX0-kHA/edit?usp=sharing"",""แผน!HR75"")"),0)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273</v>
      </c>
      <c r="F644" s="625"/>
      <c r="G644" s="761"/>
      <c r="H644" s="763" t="s">
        <v>274</v>
      </c>
      <c r="I644" s="269">
        <f ca="1">IFERROR(__xludf.DUMMYFUNCTION("IMPORTRANGE(""https://docs.google.com/spreadsheets/d/1QqKyyYR6Q21VydFLVH3TRQUabQu_ym0Zz7PgGX0-kHA/edit?usp=sharing"",""แผน!HR75"")"),0)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275</v>
      </c>
      <c r="F645" s="625"/>
      <c r="G645" s="761"/>
      <c r="H645" s="763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IFERROR(__xludf.DUMMYFUNCTION("IMPORTRANGE(""https://docs.google.com/spreadsheets/d/1XWAQStnk-4SwqDmLtmXYiTMKHgktTP8We1SCoS47DrQ/edit?usp=sharing"",""จัดที่ดิน!AS75"")"),0)</f>
        <v>0</v>
      </c>
      <c r="K645" s="162">
        <f t="shared" si="93"/>
        <v>0</v>
      </c>
      <c r="L645" s="162"/>
      <c r="M645" s="162"/>
      <c r="N645" s="497"/>
      <c r="O645" s="162"/>
      <c r="P645" s="162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IFERROR(__xludf.DUMMYFUNCTION("IMPORTRANGE(""https://docs.google.com/spreadsheets/d/1XWAQStnk-4SwqDmLtmXYiTMKHgktTP8We1SCoS47DrQ/edit?usp=sharing"",""จัดที่ดิน!AT75"")"),0)</f>
        <v>0</v>
      </c>
      <c r="K646" s="497">
        <f t="shared" si="93"/>
        <v>0</v>
      </c>
      <c r="L646" s="162"/>
      <c r="M646" s="162"/>
      <c r="N646" s="497"/>
      <c r="O646" s="162"/>
      <c r="P646" s="162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69">
        <f ca="1">IFERROR(__xludf.DUMMYFUNCTION("IMPORTRANGE(""https://docs.google.com/spreadsheets/d/1QqKyyYR6Q21VydFLVH3TRQUabQu_ym0Zz7PgGX0-kHA/edit?usp=sharing"",""แผน!HS75"")"),0)</f>
        <v>0</v>
      </c>
      <c r="J647" s="269">
        <f ca="1">IFERROR(__xludf.DUMMYFUNCTION("IMPORTRANGE(""https://docs.google.com/spreadsheets/d/1XWAQStnk-4SwqDmLtmXYiTMKHgktTP8We1SCoS47DrQ/edit?usp=sharing"",""จัดที่ดิน!AU75"")"),0)</f>
        <v>0</v>
      </c>
      <c r="K647" s="162">
        <f t="shared" ca="1" si="93"/>
        <v>0</v>
      </c>
      <c r="L647" s="162"/>
      <c r="M647" s="162"/>
      <c r="N647" s="162"/>
      <c r="O647" s="162"/>
      <c r="P647" s="162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IFERROR(__xludf.DUMMYFUNCTION("IMPORTRANGE(""https://docs.google.com/spreadsheets/d/1XWAQStnk-4SwqDmLtmXYiTMKHgktTP8We1SCoS47DrQ/edit?usp=sharing"",""จัดที่ดิน!AV75"")"),0)</f>
        <v>0</v>
      </c>
      <c r="K648" s="497">
        <f t="shared" si="93"/>
        <v>0</v>
      </c>
      <c r="L648" s="162"/>
      <c r="M648" s="162"/>
      <c r="N648" s="162"/>
      <c r="O648" s="162"/>
      <c r="P648" s="162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276</v>
      </c>
      <c r="F649" s="625"/>
      <c r="G649" s="761"/>
      <c r="H649" s="763" t="s">
        <v>35</v>
      </c>
      <c r="I649" s="269">
        <f ca="1">IFERROR(__xludf.DUMMYFUNCTION("IMPORTRANGE(""https://docs.google.com/spreadsheets/d/1QqKyyYR6Q21VydFLVH3TRQUabQu_ym0Zz7PgGX0-kHA/edit?usp=sharing"",""แผน!HS75"")"),0)</f>
        <v>0</v>
      </c>
      <c r="J649" s="269">
        <f ca="1">IFERROR(__xludf.DUMMYFUNCTION("IMPORTRANGE(""https://docs.google.com/spreadsheets/d/1XWAQStnk-4SwqDmLtmXYiTMKHgktTP8We1SCoS47DrQ/edit?usp=sharing"",""จัดที่ดิน!AW75"")"),0)</f>
        <v>0</v>
      </c>
      <c r="K649" s="162">
        <f t="shared" ca="1" si="93"/>
        <v>0</v>
      </c>
      <c r="L649" s="162"/>
      <c r="M649" s="162"/>
      <c r="N649" s="162"/>
      <c r="O649" s="162"/>
      <c r="P649" s="162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IFERROR(__xludf.DUMMYFUNCTION("IMPORTRANGE(""https://docs.google.com/spreadsheets/d/1XWAQStnk-4SwqDmLtmXYiTMKHgktTP8We1SCoS47DrQ/edit?usp=sharing"",""จัดที่ดิน!AX75"")"),0)</f>
        <v>0</v>
      </c>
      <c r="K650" s="497">
        <f t="shared" si="93"/>
        <v>0</v>
      </c>
      <c r="L650" s="162"/>
      <c r="M650" s="162"/>
      <c r="N650" s="162"/>
      <c r="O650" s="162"/>
      <c r="P650" s="162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277</v>
      </c>
      <c r="F651" s="625"/>
      <c r="G651" s="761"/>
      <c r="H651" s="763" t="s">
        <v>35</v>
      </c>
      <c r="I651" s="269">
        <f ca="1">IFERROR(__xludf.DUMMYFUNCTION("IMPORTRANGE(""https://docs.google.com/spreadsheets/d/1QqKyyYR6Q21VydFLVH3TRQUabQu_ym0Zz7PgGX0-kHA/edit?usp=sharing"",""แผน!HS75"")"),0)</f>
        <v>0</v>
      </c>
      <c r="J651" s="269">
        <f ca="1">IFERROR(__xludf.DUMMYFUNCTION("IMPORTRANGE(""https://docs.google.com/spreadsheets/d/1XWAQStnk-4SwqDmLtmXYiTMKHgktTP8We1SCoS47DrQ/edit?usp=sharing"",""จัดที่ดิน!AY75"")"),0)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IFERROR(__xludf.DUMMYFUNCTION("IMPORTRANGE(""https://docs.google.com/spreadsheets/d/1XWAQStnk-4SwqDmLtmXYiTMKHgktTP8We1SCoS47DrQ/edit?usp=sharing"",""จัดที่ดิน!AZ75"")"),0)</f>
        <v>0</v>
      </c>
      <c r="K652" s="506">
        <f t="shared" si="93"/>
        <v>0</v>
      </c>
      <c r="L652" s="384"/>
      <c r="M652" s="384"/>
      <c r="N652" s="384"/>
      <c r="O652" s="384"/>
      <c r="P652" s="384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278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279</v>
      </c>
      <c r="C654" s="672"/>
      <c r="D654" s="672"/>
      <c r="E654" s="672"/>
      <c r="F654" s="672"/>
      <c r="G654" s="673"/>
      <c r="H654" s="706" t="s">
        <v>46</v>
      </c>
      <c r="I654" s="707">
        <f ca="1">I669</f>
        <v>0</v>
      </c>
      <c r="J654" s="707">
        <f>J669</f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87" t="s">
        <v>17</v>
      </c>
      <c r="E655" s="888"/>
      <c r="F655" s="888"/>
      <c r="G655" s="188"/>
      <c r="H655" s="597" t="s">
        <v>12</v>
      </c>
      <c r="I655" s="269"/>
      <c r="J655" s="269"/>
      <c r="K655" s="497"/>
      <c r="L655" s="194">
        <f ca="1">L656+L657</f>
        <v>0</v>
      </c>
      <c r="M655" s="194">
        <f>M656+M657</f>
        <v>0</v>
      </c>
      <c r="N655" s="194">
        <f>N656+N657</f>
        <v>0</v>
      </c>
      <c r="O655" s="194">
        <f t="shared" ref="O655:O660" ca="1" si="94">IF(L655&gt;0,N655*100/L655,0)</f>
        <v>0</v>
      </c>
      <c r="P655" s="194">
        <f t="shared" ref="P655:P660" si="9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184</v>
      </c>
      <c r="F656" s="758"/>
      <c r="G656" s="602"/>
      <c r="H656" s="164" t="s">
        <v>12</v>
      </c>
      <c r="I656" s="616"/>
      <c r="J656" s="616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185</v>
      </c>
      <c r="F657" s="758"/>
      <c r="G657" s="602"/>
      <c r="H657" s="164" t="s">
        <v>12</v>
      </c>
      <c r="I657" s="616"/>
      <c r="J657" s="616"/>
      <c r="K657" s="92"/>
      <c r="L657" s="92">
        <f t="shared" ca="1" si="96"/>
        <v>0</v>
      </c>
      <c r="M657" s="92">
        <f t="shared" si="96"/>
        <v>0</v>
      </c>
      <c r="N657" s="92">
        <f t="shared" si="96"/>
        <v>0</v>
      </c>
      <c r="O657" s="92">
        <f t="shared" ca="1" si="94"/>
        <v>0</v>
      </c>
      <c r="P657" s="92">
        <f t="shared" si="9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8"/>
      <c r="H658" s="160" t="s">
        <v>12</v>
      </c>
      <c r="I658" s="183"/>
      <c r="J658" s="183"/>
      <c r="K658" s="162"/>
      <c r="L658" s="497">
        <f ca="1">L659+L660</f>
        <v>0</v>
      </c>
      <c r="M658" s="497">
        <f>M659+M660</f>
        <v>0</v>
      </c>
      <c r="N658" s="497">
        <f>N659+N660</f>
        <v>0</v>
      </c>
      <c r="O658" s="497">
        <f t="shared" ca="1" si="94"/>
        <v>0</v>
      </c>
      <c r="P658" s="497">
        <f t="shared" si="9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184</v>
      </c>
      <c r="F659" s="758"/>
      <c r="G659" s="602"/>
      <c r="H659" s="164" t="s">
        <v>12</v>
      </c>
      <c r="I659" s="616"/>
      <c r="J659" s="616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185</v>
      </c>
      <c r="F660" s="758"/>
      <c r="G660" s="602"/>
      <c r="H660" s="164" t="s">
        <v>12</v>
      </c>
      <c r="I660" s="616"/>
      <c r="J660" s="616"/>
      <c r="K660" s="92"/>
      <c r="L660" s="92">
        <f ca="1">IFERROR(__xludf.DUMMYFUNCTION("IMPORTRANGE(""https://docs.google.com/spreadsheets/d/1QqKyyYR6Q21VydFLVH3TRQUabQu_ym0Zz7PgGX0-kHA/edit?usp=sharing"",""แผน!HV75"")"),0)</f>
        <v>0</v>
      </c>
      <c r="M660" s="92">
        <v>0</v>
      </c>
      <c r="N660" s="92">
        <f>N661+N662+N663+N664</f>
        <v>0</v>
      </c>
      <c r="O660" s="92">
        <f t="shared" ca="1" si="94"/>
        <v>0</v>
      </c>
      <c r="P660" s="92">
        <f t="shared" si="9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826">
        <v>0</v>
      </c>
      <c r="O661" s="497"/>
      <c r="P661" s="497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826">
        <v>0</v>
      </c>
      <c r="O662" s="497"/>
      <c r="P662" s="497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826">
        <v>0</v>
      </c>
      <c r="O663" s="497"/>
      <c r="P663" s="497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826">
        <v>0</v>
      </c>
      <c r="O664" s="497"/>
      <c r="P664" s="497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40" t="s">
        <v>38</v>
      </c>
      <c r="E668" s="760"/>
      <c r="F668" s="760"/>
      <c r="G668" s="612"/>
      <c r="H668" s="761"/>
      <c r="I668" s="183"/>
      <c r="J668" s="183"/>
      <c r="K668" s="162"/>
      <c r="L668" s="162"/>
      <c r="M668" s="162"/>
      <c r="N668" s="162"/>
      <c r="O668" s="162"/>
      <c r="P668" s="162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280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IFERROR(__xludf.DUMMYFUNCTION("IMPORTRANGE(""https://docs.google.com/spreadsheets/d/1QqKyyYR6Q21VydFLVH3TRQUabQu_ym0Zz7PgGX0-kHA/edit?usp=sharing"",""แผน!IA75"")"),0)</f>
        <v>0</v>
      </c>
      <c r="J669" s="680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281</v>
      </c>
      <c r="F670" s="625"/>
      <c r="G670" s="761"/>
      <c r="H670" s="763" t="s">
        <v>66</v>
      </c>
      <c r="I670" s="269">
        <f ca="1">IFERROR(__xludf.DUMMYFUNCTION("IMPORTRANGE(""https://docs.google.com/spreadsheets/d/1QqKyyYR6Q21VydFLVH3TRQUabQu_ym0Zz7PgGX0-kHA/edit?usp=sharing"",""แผน!HZ75"")"),0)</f>
        <v>0</v>
      </c>
      <c r="J670" s="214">
        <v>0</v>
      </c>
      <c r="K670" s="497">
        <f ca="1">IF(I670&gt;0,(J670*100)/I670,0)</f>
        <v>0</v>
      </c>
      <c r="L670" s="162"/>
      <c r="M670" s="162"/>
      <c r="N670" s="162"/>
      <c r="O670" s="162"/>
      <c r="P670" s="162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282</v>
      </c>
      <c r="F671" s="625"/>
      <c r="G671" s="761"/>
      <c r="H671" s="763" t="s">
        <v>66</v>
      </c>
      <c r="I671" s="269">
        <f ca="1">IFERROR(__xludf.DUMMYFUNCTION("IMPORTRANGE(""https://docs.google.com/spreadsheets/d/1QqKyyYR6Q21VydFLVH3TRQUabQu_ym0Zz7PgGX0-kHA/edit?usp=sharing"",""แผน!HZ75"")"),0)</f>
        <v>0</v>
      </c>
      <c r="J671" s="214">
        <v>0</v>
      </c>
      <c r="K671" s="497">
        <f ca="1">IF(I$671&gt;0,J671*100/I$671,0)</f>
        <v>0</v>
      </c>
      <c r="L671" s="162"/>
      <c r="M671" s="162"/>
      <c r="N671" s="162"/>
      <c r="O671" s="162"/>
      <c r="P671" s="162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283</v>
      </c>
      <c r="F672" s="625"/>
      <c r="G672" s="761"/>
      <c r="H672" s="763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284</v>
      </c>
      <c r="F673" s="625"/>
      <c r="G673" s="761"/>
      <c r="H673" s="763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285</v>
      </c>
      <c r="F674" s="625"/>
      <c r="G674" s="761"/>
      <c r="H674" s="763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286</v>
      </c>
      <c r="F675" s="625"/>
      <c r="G675" s="761"/>
      <c r="H675" s="763" t="s">
        <v>46</v>
      </c>
      <c r="I675" s="269"/>
      <c r="J675" s="680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287</v>
      </c>
      <c r="G676" s="761"/>
      <c r="H676" s="763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288</v>
      </c>
      <c r="G677" s="761"/>
      <c r="H677" s="763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289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IFERROR(__xludf.DUMMYFUNCTION("IMPORTRANGE(""https://docs.google.com/spreadsheets/d/1QqKyyYR6Q21VydFLVH3TRQUabQu_ym0Zz7PgGX0-kHA/edit?usp=sharing"",""แผน!IB75"")"),0)</f>
        <v>0</v>
      </c>
      <c r="J678" s="680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290</v>
      </c>
      <c r="F679" s="625"/>
      <c r="G679" s="761"/>
      <c r="H679" s="763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287</v>
      </c>
      <c r="G680" s="761"/>
      <c r="H680" s="763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288</v>
      </c>
      <c r="G681" s="761"/>
      <c r="H681" s="763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291</v>
      </c>
      <c r="F682" s="625"/>
      <c r="G682" s="761"/>
      <c r="H682" s="763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292</v>
      </c>
      <c r="G683" s="761"/>
      <c r="H683" s="763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293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87" t="s">
        <v>17</v>
      </c>
      <c r="E685" s="888"/>
      <c r="F685" s="888"/>
      <c r="G685" s="188"/>
      <c r="H685" s="597" t="s">
        <v>12</v>
      </c>
      <c r="I685" s="269"/>
      <c r="J685" s="269"/>
      <c r="K685" s="497"/>
      <c r="L685" s="194">
        <f ca="1">L686+L687</f>
        <v>0</v>
      </c>
      <c r="M685" s="194">
        <f>M686+M687</f>
        <v>0</v>
      </c>
      <c r="N685" s="194">
        <f>N686+N687</f>
        <v>0</v>
      </c>
      <c r="O685" s="194">
        <f ca="1">IF(L685&gt;0,N685*100/L685,0)</f>
        <v>0</v>
      </c>
      <c r="P685" s="194">
        <f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184</v>
      </c>
      <c r="F686" s="758"/>
      <c r="G686" s="602"/>
      <c r="H686" s="164" t="s">
        <v>12</v>
      </c>
      <c r="I686" s="616"/>
      <c r="J686" s="616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185</v>
      </c>
      <c r="F687" s="758"/>
      <c r="G687" s="602"/>
      <c r="H687" s="164" t="s">
        <v>12</v>
      </c>
      <c r="I687" s="616"/>
      <c r="J687" s="616"/>
      <c r="K687" s="92"/>
      <c r="L687" s="92">
        <f t="shared" ca="1" si="97"/>
        <v>0</v>
      </c>
      <c r="M687" s="92">
        <f t="shared" si="97"/>
        <v>0</v>
      </c>
      <c r="N687" s="92">
        <f t="shared" si="97"/>
        <v>0</v>
      </c>
      <c r="O687" s="92">
        <f ca="1">IF(L687&gt;0,N687*100/L687,0)</f>
        <v>0</v>
      </c>
      <c r="P687" s="92">
        <f>IF(M687&gt;0,N687*100/M687,0)</f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8"/>
      <c r="H688" s="160" t="s">
        <v>12</v>
      </c>
      <c r="I688" s="183"/>
      <c r="J688" s="183"/>
      <c r="K688" s="162"/>
      <c r="L688" s="497">
        <f ca="1">L689+L690</f>
        <v>0</v>
      </c>
      <c r="M688" s="497">
        <f>M689+M690</f>
        <v>0</v>
      </c>
      <c r="N688" s="497">
        <f>N689+N690</f>
        <v>0</v>
      </c>
      <c r="O688" s="497">
        <f ca="1">IF(L688&gt;0,N688*100/L688,0)</f>
        <v>0</v>
      </c>
      <c r="P688" s="497">
        <f>IF(M688&gt;0,N688*100/M688,0)</f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184</v>
      </c>
      <c r="F689" s="758"/>
      <c r="G689" s="602"/>
      <c r="H689" s="164" t="s">
        <v>12</v>
      </c>
      <c r="I689" s="616"/>
      <c r="J689" s="616"/>
      <c r="K689" s="92"/>
      <c r="L689" s="92">
        <v>0</v>
      </c>
      <c r="M689" s="92">
        <v>0</v>
      </c>
      <c r="N689" s="92">
        <v>0</v>
      </c>
      <c r="O689" s="92"/>
      <c r="P689" s="92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185</v>
      </c>
      <c r="F690" s="758"/>
      <c r="G690" s="602"/>
      <c r="H690" s="164" t="s">
        <v>12</v>
      </c>
      <c r="I690" s="616"/>
      <c r="J690" s="616"/>
      <c r="K690" s="92"/>
      <c r="L690" s="92">
        <f ca="1">IFERROR(__xludf.DUMMYFUNCTION("IMPORTRANGE(""https://docs.google.com/spreadsheets/d/1QqKyyYR6Q21VydFLVH3TRQUabQu_ym0Zz7PgGX0-kHA/edit?usp=sharing"",""แผน!HW75"")"),0)</f>
        <v>0</v>
      </c>
      <c r="M690" s="92">
        <v>0</v>
      </c>
      <c r="N690" s="92">
        <f>N691+N692+N693+N694</f>
        <v>0</v>
      </c>
      <c r="O690" s="92">
        <f ca="1">IF(L690&gt;0,N690*100/L690,0)</f>
        <v>0</v>
      </c>
      <c r="P690" s="92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826">
        <v>0</v>
      </c>
      <c r="O691" s="497"/>
      <c r="P691" s="497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826">
        <v>0</v>
      </c>
      <c r="O692" s="497"/>
      <c r="P692" s="497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826">
        <v>0</v>
      </c>
      <c r="O693" s="497"/>
      <c r="P693" s="497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826">
        <v>0</v>
      </c>
      <c r="O694" s="497"/>
      <c r="P694" s="497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38" t="s">
        <v>38</v>
      </c>
      <c r="E698" s="760"/>
      <c r="F698" s="760"/>
      <c r="G698" s="612"/>
      <c r="H698" s="761"/>
      <c r="I698" s="183"/>
      <c r="J698" s="183"/>
      <c r="K698" s="162"/>
      <c r="L698" s="162"/>
      <c r="M698" s="162"/>
      <c r="N698" s="162"/>
      <c r="O698" s="162"/>
      <c r="P698" s="162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294</v>
      </c>
      <c r="E699" s="762"/>
      <c r="F699" s="762"/>
      <c r="G699" s="188"/>
      <c r="H699" s="763" t="s">
        <v>46</v>
      </c>
      <c r="I699" s="764">
        <f ca="1">IFERROR(__xludf.DUMMYFUNCTION("IMPORTRANGE(""https://docs.google.com/spreadsheets/d/1QqKyyYR6Q21VydFLVH3TRQUabQu_ym0Zz7PgGX0-kHA/edit?usp=sharing"",""แผน!IC75"")"),0)</f>
        <v>0</v>
      </c>
      <c r="J699" s="269">
        <f ca="1">IFERROR(__xludf.DUMMYFUNCTION("IMPORTRANGE(""https://docs.google.com/spreadsheets/d/1XWAQStnk-4SwqDmLtmXYiTMKHgktTP8We1SCoS47DrQ/edit?usp=sharing"",""จัดที่ดิน!BB75"")"),0)</f>
        <v>0</v>
      </c>
      <c r="K699" s="497">
        <f ca="1">IF(I699&gt;0,J699*100/I699,0)</f>
        <v>0</v>
      </c>
      <c r="L699" s="497"/>
      <c r="M699" s="188"/>
      <c r="N699" s="765"/>
      <c r="O699" s="497"/>
      <c r="P699" s="497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295</v>
      </c>
      <c r="E700" s="762"/>
      <c r="F700" s="762"/>
      <c r="G700" s="188"/>
      <c r="H700" s="763" t="s">
        <v>35</v>
      </c>
      <c r="I700" s="764">
        <f ca="1">IFERROR(__xludf.DUMMYFUNCTION("IMPORTRANGE(""https://docs.google.com/spreadsheets/d/1QqKyyYR6Q21VydFLVH3TRQUabQu_ym0Zz7PgGX0-kHA/edit?usp=sharing"",""แผน!ID75"")"),0)</f>
        <v>0</v>
      </c>
      <c r="J700" s="269">
        <f ca="1">IFERROR(__xludf.DUMMYFUNCTION("IMPORTRANGE(""https://docs.google.com/spreadsheets/d/1XWAQStnk-4SwqDmLtmXYiTMKHgktTP8We1SCoS47DrQ/edit?usp=sharing"",""จัดที่ดิน!BD75"")"),0)</f>
        <v>0</v>
      </c>
      <c r="K700" s="497">
        <f ca="1">IF(I700&gt;0,J700*100/I700,0)</f>
        <v>0</v>
      </c>
      <c r="L700" s="497"/>
      <c r="M700" s="188"/>
      <c r="N700" s="765"/>
      <c r="O700" s="497"/>
      <c r="P700" s="497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296</v>
      </c>
      <c r="E701" s="762"/>
      <c r="F701" s="762"/>
      <c r="G701" s="188"/>
      <c r="H701" s="766" t="s">
        <v>46</v>
      </c>
      <c r="I701" s="767">
        <f ca="1">IFERROR(__xludf.DUMMYFUNCTION("IMPORTRANGE(""https://docs.google.com/spreadsheets/d/1QqKyyYR6Q21VydFLVH3TRQUabQu_ym0Zz7PgGX0-kHA/edit?usp=sharing"",""แผน!IE75"")"),0)</f>
        <v>0</v>
      </c>
      <c r="J701" s="680">
        <f>J704+J707</f>
        <v>0</v>
      </c>
      <c r="K701" s="194">
        <f ca="1">IF(I701&gt;0,J701*100/I701,0)</f>
        <v>0</v>
      </c>
      <c r="L701" s="497"/>
      <c r="M701" s="188"/>
      <c r="N701" s="765"/>
      <c r="O701" s="497"/>
      <c r="P701" s="497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297</v>
      </c>
      <c r="F702" s="762"/>
      <c r="G702" s="188"/>
      <c r="H702" s="763" t="s">
        <v>35</v>
      </c>
      <c r="I702" s="764"/>
      <c r="J702" s="214">
        <v>0</v>
      </c>
      <c r="K702" s="497"/>
      <c r="L702" s="497"/>
      <c r="M702" s="188"/>
      <c r="N702" s="765"/>
      <c r="O702" s="497"/>
      <c r="P702" s="497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8"/>
      <c r="H703" s="763" t="s">
        <v>34</v>
      </c>
      <c r="I703" s="764"/>
      <c r="J703" s="214">
        <v>0</v>
      </c>
      <c r="K703" s="497"/>
      <c r="L703" s="497"/>
      <c r="M703" s="188"/>
      <c r="N703" s="765"/>
      <c r="O703" s="497"/>
      <c r="P703" s="497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8"/>
      <c r="H704" s="763" t="s">
        <v>46</v>
      </c>
      <c r="I704" s="764">
        <f ca="1">IFERROR(__xludf.DUMMYFUNCTION("IMPORTRANGE(""https://docs.google.com/spreadsheets/d/1QqKyyYR6Q21VydFLVH3TRQUabQu_ym0Zz7PgGX0-kHA/edit?usp=sharing"",""แผน!IF75"")"),0)</f>
        <v>0</v>
      </c>
      <c r="J704" s="214">
        <v>0</v>
      </c>
      <c r="K704" s="497"/>
      <c r="L704" s="497"/>
      <c r="M704" s="188"/>
      <c r="N704" s="765"/>
      <c r="O704" s="497"/>
      <c r="P704" s="497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298</v>
      </c>
      <c r="F705" s="762"/>
      <c r="G705" s="188"/>
      <c r="H705" s="763" t="s">
        <v>35</v>
      </c>
      <c r="I705" s="764"/>
      <c r="J705" s="214">
        <v>0</v>
      </c>
      <c r="K705" s="497"/>
      <c r="L705" s="497"/>
      <c r="M705" s="188"/>
      <c r="N705" s="765"/>
      <c r="O705" s="497"/>
      <c r="P705" s="497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8"/>
      <c r="H706" s="763" t="s">
        <v>34</v>
      </c>
      <c r="I706" s="764"/>
      <c r="J706" s="214">
        <v>0</v>
      </c>
      <c r="K706" s="497"/>
      <c r="L706" s="497"/>
      <c r="M706" s="188"/>
      <c r="N706" s="765"/>
      <c r="O706" s="497"/>
      <c r="P706" s="497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8"/>
      <c r="H707" s="763" t="s">
        <v>46</v>
      </c>
      <c r="I707" s="764">
        <f ca="1">IFERROR(__xludf.DUMMYFUNCTION("IMPORTRANGE(""https://docs.google.com/spreadsheets/d/1QqKyyYR6Q21VydFLVH3TRQUabQu_ym0Zz7PgGX0-kHA/edit?usp=sharing"",""แผน!IG75"")"),0)</f>
        <v>0</v>
      </c>
      <c r="J707" s="214">
        <v>0</v>
      </c>
      <c r="K707" s="497"/>
      <c r="L707" s="497"/>
      <c r="M707" s="188"/>
      <c r="N707" s="765"/>
      <c r="O707" s="497"/>
      <c r="P707" s="497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299</v>
      </c>
      <c r="E708" s="762"/>
      <c r="F708" s="762"/>
      <c r="G708" s="188"/>
      <c r="H708" s="766" t="s">
        <v>46</v>
      </c>
      <c r="I708" s="767">
        <f ca="1">IFERROR(__xludf.DUMMYFUNCTION("IMPORTRANGE(""https://docs.google.com/spreadsheets/d/1QqKyyYR6Q21VydFLVH3TRQUabQu_ym0Zz7PgGX0-kHA/edit?usp=sharing"",""แผน!IH75"")"),0)</f>
        <v>0</v>
      </c>
      <c r="J708" s="680">
        <f>J714+J717</f>
        <v>0</v>
      </c>
      <c r="K708" s="194">
        <f ca="1">IF(I708&gt;0,J708*100/I708,0)</f>
        <v>0</v>
      </c>
      <c r="L708" s="497"/>
      <c r="M708" s="188"/>
      <c r="N708" s="765"/>
      <c r="O708" s="497"/>
      <c r="P708" s="497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300</v>
      </c>
      <c r="F709" s="762"/>
      <c r="G709" s="188"/>
      <c r="H709" s="763" t="s">
        <v>34</v>
      </c>
      <c r="I709" s="764"/>
      <c r="J709" s="214">
        <v>0</v>
      </c>
      <c r="K709" s="497"/>
      <c r="L709" s="765"/>
      <c r="M709" s="188"/>
      <c r="N709" s="765"/>
      <c r="O709" s="497"/>
      <c r="P709" s="497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8"/>
      <c r="H710" s="763" t="s">
        <v>46</v>
      </c>
      <c r="I710" s="764"/>
      <c r="J710" s="214">
        <v>0</v>
      </c>
      <c r="K710" s="497"/>
      <c r="L710" s="765"/>
      <c r="M710" s="188"/>
      <c r="N710" s="765"/>
      <c r="O710" s="497"/>
      <c r="P710" s="497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301</v>
      </c>
      <c r="F711" s="762"/>
      <c r="G711" s="188"/>
      <c r="H711" s="761"/>
      <c r="I711" s="764"/>
      <c r="J711" s="269"/>
      <c r="K711" s="497"/>
      <c r="L711" s="765"/>
      <c r="M711" s="188"/>
      <c r="N711" s="765"/>
      <c r="O711" s="497"/>
      <c r="P711" s="497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302</v>
      </c>
      <c r="G712" s="188"/>
      <c r="H712" s="763" t="s">
        <v>35</v>
      </c>
      <c r="I712" s="764"/>
      <c r="J712" s="214">
        <v>0</v>
      </c>
      <c r="K712" s="497"/>
      <c r="L712" s="765"/>
      <c r="M712" s="188"/>
      <c r="N712" s="765"/>
      <c r="O712" s="497"/>
      <c r="P712" s="497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8"/>
      <c r="H713" s="763" t="s">
        <v>34</v>
      </c>
      <c r="I713" s="764"/>
      <c r="J713" s="214">
        <v>0</v>
      </c>
      <c r="K713" s="497"/>
      <c r="L713" s="765"/>
      <c r="M713" s="188"/>
      <c r="N713" s="765"/>
      <c r="O713" s="497"/>
      <c r="P713" s="497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8"/>
      <c r="H714" s="763" t="s">
        <v>46</v>
      </c>
      <c r="I714" s="764"/>
      <c r="J714" s="214">
        <v>0</v>
      </c>
      <c r="K714" s="497"/>
      <c r="L714" s="765"/>
      <c r="M714" s="188"/>
      <c r="N714" s="765"/>
      <c r="O714" s="497"/>
      <c r="P714" s="497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303</v>
      </c>
      <c r="G715" s="188"/>
      <c r="H715" s="763" t="s">
        <v>35</v>
      </c>
      <c r="I715" s="764"/>
      <c r="J715" s="214">
        <v>0</v>
      </c>
      <c r="K715" s="497"/>
      <c r="L715" s="765"/>
      <c r="M715" s="188"/>
      <c r="N715" s="765"/>
      <c r="O715" s="497"/>
      <c r="P715" s="497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8"/>
      <c r="H716" s="763" t="s">
        <v>34</v>
      </c>
      <c r="I716" s="764"/>
      <c r="J716" s="214">
        <v>0</v>
      </c>
      <c r="K716" s="497"/>
      <c r="L716" s="765"/>
      <c r="M716" s="188"/>
      <c r="N716" s="765"/>
      <c r="O716" s="497"/>
      <c r="P716" s="497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8"/>
      <c r="H717" s="763" t="s">
        <v>46</v>
      </c>
      <c r="I717" s="764"/>
      <c r="J717" s="214">
        <v>0</v>
      </c>
      <c r="K717" s="497"/>
      <c r="L717" s="765"/>
      <c r="M717" s="188"/>
      <c r="N717" s="765"/>
      <c r="O717" s="497"/>
      <c r="P717" s="497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304</v>
      </c>
      <c r="E718" s="762"/>
      <c r="F718" s="762"/>
      <c r="G718" s="188"/>
      <c r="H718" s="763" t="s">
        <v>35</v>
      </c>
      <c r="I718" s="764"/>
      <c r="J718" s="269">
        <f ca="1">IFERROR(__xludf.DUMMYFUNCTION("IMPORTRANGE(""https://docs.google.com/spreadsheets/d/1XWAQStnk-4SwqDmLtmXYiTMKHgktTP8We1SCoS47DrQ/edit?usp=sharing"",""จัดที่ดิน!BF75"")"),0)</f>
        <v>0</v>
      </c>
      <c r="K718" s="497"/>
      <c r="L718" s="497"/>
      <c r="M718" s="188"/>
      <c r="N718" s="765"/>
      <c r="O718" s="497"/>
      <c r="P718" s="497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8"/>
      <c r="H719" s="763" t="s">
        <v>34</v>
      </c>
      <c r="I719" s="764"/>
      <c r="J719" s="269">
        <f ca="1">IFERROR(__xludf.DUMMYFUNCTION("IMPORTRANGE(""https://docs.google.com/spreadsheets/d/1XWAQStnk-4SwqDmLtmXYiTMKHgktTP8We1SCoS47DrQ/edit?usp=sharing"",""จัดที่ดิน!BG75"")"),0)</f>
        <v>0</v>
      </c>
      <c r="K719" s="497"/>
      <c r="L719" s="765"/>
      <c r="M719" s="188"/>
      <c r="N719" s="765"/>
      <c r="O719" s="497"/>
      <c r="P719" s="497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8"/>
      <c r="H720" s="763" t="s">
        <v>46</v>
      </c>
      <c r="I720" s="764">
        <f ca="1">IFERROR(__xludf.DUMMYFUNCTION("IMPORTRANGE(""https://docs.google.com/spreadsheets/d/1QqKyyYR6Q21VydFLVH3TRQUabQu_ym0Zz7PgGX0-kHA/edit?usp=sharing"",""แผน!II75"")"),0)</f>
        <v>0</v>
      </c>
      <c r="J720" s="269">
        <f ca="1">IFERROR(__xludf.DUMMYFUNCTION("IMPORTRANGE(""https://docs.google.com/spreadsheets/d/1XWAQStnk-4SwqDmLtmXYiTMKHgktTP8We1SCoS47DrQ/edit?usp=sharing"",""จัดที่ดิน!BH75"")"),0)</f>
        <v>0</v>
      </c>
      <c r="K720" s="497">
        <f ca="1">IF(I720&gt;0,J720*100/I720,0)</f>
        <v>0</v>
      </c>
      <c r="L720" s="765"/>
      <c r="M720" s="188"/>
      <c r="N720" s="765"/>
      <c r="O720" s="497"/>
      <c r="P720" s="497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305</v>
      </c>
      <c r="E721" s="762"/>
      <c r="F721" s="762"/>
      <c r="G721" s="188"/>
      <c r="H721" s="766" t="s">
        <v>35</v>
      </c>
      <c r="I721" s="767">
        <f ca="1">IFERROR(__xludf.DUMMYFUNCTION("IMPORTRANGE(""https://docs.google.com/spreadsheets/d/1QqKyyYR6Q21VydFLVH3TRQUabQu_ym0Zz7PgGX0-kHA/edit?usp=sharing"",""แผน!IJ75"")"),0)</f>
        <v>0</v>
      </c>
      <c r="J721" s="680">
        <f ca="1">J723+J726</f>
        <v>0</v>
      </c>
      <c r="K721" s="194">
        <f ca="1">IF(I721&gt;0,J721*100/I721,0)</f>
        <v>0</v>
      </c>
      <c r="L721" s="765"/>
      <c r="M721" s="188"/>
      <c r="N721" s="765"/>
      <c r="O721" s="497"/>
      <c r="P721" s="497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8"/>
      <c r="H722" s="766" t="s">
        <v>46</v>
      </c>
      <c r="I722" s="767">
        <f ca="1">IFERROR(__xludf.DUMMYFUNCTION("IMPORTRANGE(""https://docs.google.com/spreadsheets/d/1QqKyyYR6Q21VydFLVH3TRQUabQu_ym0Zz7PgGX0-kHA/edit?usp=sharing"",""แผน!IK75"")"),0)</f>
        <v>0</v>
      </c>
      <c r="J722" s="680">
        <f ca="1">J725+J728</f>
        <v>0</v>
      </c>
      <c r="K722" s="194">
        <f ca="1">IF(I722&gt;0,J722*100/I722,0)</f>
        <v>0</v>
      </c>
      <c r="L722" s="497"/>
      <c r="M722" s="188"/>
      <c r="N722" s="765"/>
      <c r="O722" s="497"/>
      <c r="P722" s="497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306</v>
      </c>
      <c r="F723" s="762"/>
      <c r="G723" s="188"/>
      <c r="H723" s="763" t="s">
        <v>35</v>
      </c>
      <c r="I723" s="764">
        <f ca="1">IFERROR(__xludf.DUMMYFUNCTION("IMPORTRANGE(""https://docs.google.com/spreadsheets/d/1QqKyyYR6Q21VydFLVH3TRQUabQu_ym0Zz7PgGX0-kHA/edit?usp=sharing"",""แผน!IL75"")"),0)</f>
        <v>0</v>
      </c>
      <c r="J723" s="269">
        <f ca="1">IFERROR(__xludf.DUMMYFUNCTION("IMPORTRANGE(""https://docs.google.com/spreadsheets/d/1XWAQStnk-4SwqDmLtmXYiTMKHgktTP8We1SCoS47DrQ/edit?usp=sharing"",""จัดที่ดิน!BM75"")"),0)</f>
        <v>0</v>
      </c>
      <c r="K723" s="497">
        <f ca="1">IF(I723&gt;0,J723*100/I723,0)</f>
        <v>0</v>
      </c>
      <c r="L723" s="497"/>
      <c r="M723" s="188"/>
      <c r="N723" s="765"/>
      <c r="O723" s="497"/>
      <c r="P723" s="497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8"/>
      <c r="H724" s="763" t="s">
        <v>34</v>
      </c>
      <c r="I724" s="764"/>
      <c r="J724" s="269">
        <f ca="1">IFERROR(__xludf.DUMMYFUNCTION("IMPORTRANGE(""https://docs.google.com/spreadsheets/d/1XWAQStnk-4SwqDmLtmXYiTMKHgktTP8We1SCoS47DrQ/edit?usp=sharing"",""จัดที่ดิน!BN75"")"),0)</f>
        <v>0</v>
      </c>
      <c r="K724" s="497"/>
      <c r="L724" s="765"/>
      <c r="M724" s="188"/>
      <c r="N724" s="765"/>
      <c r="O724" s="497"/>
      <c r="P724" s="497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8"/>
      <c r="H725" s="763" t="s">
        <v>46</v>
      </c>
      <c r="I725" s="764">
        <f ca="1">IFERROR(__xludf.DUMMYFUNCTION("IMPORTRANGE(""https://docs.google.com/spreadsheets/d/1QqKyyYR6Q21VydFLVH3TRQUabQu_ym0Zz7PgGX0-kHA/edit?usp=sharing"",""แผน!IM75"")"),0)</f>
        <v>0</v>
      </c>
      <c r="J725" s="269">
        <f ca="1">IFERROR(__xludf.DUMMYFUNCTION("IMPORTRANGE(""https://docs.google.com/spreadsheets/d/1XWAQStnk-4SwqDmLtmXYiTMKHgktTP8We1SCoS47DrQ/edit?usp=sharing"",""จัดที่ดิน!BO75"")"),0)</f>
        <v>0</v>
      </c>
      <c r="K725" s="497">
        <f ca="1">IF(I725&gt;0,J725*100/I725,0)</f>
        <v>0</v>
      </c>
      <c r="L725" s="765"/>
      <c r="M725" s="188"/>
      <c r="N725" s="765"/>
      <c r="O725" s="497"/>
      <c r="P725" s="497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307</v>
      </c>
      <c r="F726" s="762"/>
      <c r="G726" s="188"/>
      <c r="H726" s="763" t="s">
        <v>35</v>
      </c>
      <c r="I726" s="764">
        <f ca="1">IFERROR(__xludf.DUMMYFUNCTION("IMPORTRANGE(""https://docs.google.com/spreadsheets/d/1QqKyyYR6Q21VydFLVH3TRQUabQu_ym0Zz7PgGX0-kHA/edit?usp=sharing"",""แผน!IN75"")"),0)</f>
        <v>0</v>
      </c>
      <c r="J726" s="269">
        <f ca="1">IFERROR(__xludf.DUMMYFUNCTION("IMPORTRANGE(""https://docs.google.com/spreadsheets/d/1XWAQStnk-4SwqDmLtmXYiTMKHgktTP8We1SCoS47DrQ/edit?usp=sharing"",""จัดที่ดิน!BR75"")"),0)</f>
        <v>0</v>
      </c>
      <c r="K726" s="497">
        <f ca="1">IF(I726&gt;0,J726*100/I726,0)</f>
        <v>0</v>
      </c>
      <c r="L726" s="497"/>
      <c r="M726" s="188"/>
      <c r="N726" s="765"/>
      <c r="O726" s="497"/>
      <c r="P726" s="497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8"/>
      <c r="H727" s="763" t="s">
        <v>34</v>
      </c>
      <c r="I727" s="764"/>
      <c r="J727" s="269">
        <f ca="1">IFERROR(__xludf.DUMMYFUNCTION("IMPORTRANGE(""https://docs.google.com/spreadsheets/d/1XWAQStnk-4SwqDmLtmXYiTMKHgktTP8We1SCoS47DrQ/edit?usp=sharing"",""จัดที่ดิน!BS75"")"),0)</f>
        <v>0</v>
      </c>
      <c r="K727" s="497"/>
      <c r="L727" s="765"/>
      <c r="M727" s="188"/>
      <c r="N727" s="765"/>
      <c r="O727" s="497"/>
      <c r="P727" s="497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8"/>
      <c r="H728" s="763" t="s">
        <v>46</v>
      </c>
      <c r="I728" s="764">
        <f ca="1">IFERROR(__xludf.DUMMYFUNCTION("IMPORTRANGE(""https://docs.google.com/spreadsheets/d/1QqKyyYR6Q21VydFLVH3TRQUabQu_ym0Zz7PgGX0-kHA/edit?usp=sharing"",""แผน!IO75"")"),0)</f>
        <v>0</v>
      </c>
      <c r="J728" s="269">
        <f ca="1">IFERROR(__xludf.DUMMYFUNCTION("IMPORTRANGE(""https://docs.google.com/spreadsheets/d/1XWAQStnk-4SwqDmLtmXYiTMKHgktTP8We1SCoS47DrQ/edit?usp=sharing"",""จัดที่ดิน!BT75"")"),0)</f>
        <v>0</v>
      </c>
      <c r="K728" s="497">
        <f ca="1">IF(I728&gt;0,J728*100/I728,0)</f>
        <v>0</v>
      </c>
      <c r="L728" s="765"/>
      <c r="M728" s="188"/>
      <c r="N728" s="765"/>
      <c r="O728" s="497"/>
      <c r="P728" s="497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308</v>
      </c>
      <c r="E729" s="762"/>
      <c r="F729" s="762"/>
      <c r="G729" s="188"/>
      <c r="H729" s="766" t="s">
        <v>46</v>
      </c>
      <c r="I729" s="767">
        <f ca="1">IFERROR(__xludf.DUMMYFUNCTION("IMPORTRANGE(""https://docs.google.com/spreadsheets/d/1QqKyyYR6Q21VydFLVH3TRQUabQu_ym0Zz7PgGX0-kHA/edit?usp=sharing"",""แผน!IP75"")"),0)</f>
        <v>0</v>
      </c>
      <c r="J729" s="680">
        <f>J732+J735</f>
        <v>0</v>
      </c>
      <c r="K729" s="194">
        <f ca="1">IF(I729&gt;0,J729*100/I729,0)</f>
        <v>0</v>
      </c>
      <c r="L729" s="497"/>
      <c r="M729" s="188"/>
      <c r="N729" s="765"/>
      <c r="O729" s="497"/>
      <c r="P729" s="497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309</v>
      </c>
      <c r="F730" s="762"/>
      <c r="G730" s="188"/>
      <c r="H730" s="763" t="s">
        <v>35</v>
      </c>
      <c r="I730" s="764"/>
      <c r="J730" s="214">
        <v>0</v>
      </c>
      <c r="K730" s="497"/>
      <c r="L730" s="765"/>
      <c r="M730" s="497"/>
      <c r="N730" s="765"/>
      <c r="O730" s="497"/>
      <c r="P730" s="497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8"/>
      <c r="H731" s="763" t="s">
        <v>34</v>
      </c>
      <c r="I731" s="764"/>
      <c r="J731" s="214">
        <v>0</v>
      </c>
      <c r="K731" s="497"/>
      <c r="L731" s="765"/>
      <c r="M731" s="497"/>
      <c r="N731" s="765"/>
      <c r="O731" s="497"/>
      <c r="P731" s="497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8"/>
      <c r="H732" s="763" t="s">
        <v>46</v>
      </c>
      <c r="I732" s="764"/>
      <c r="J732" s="214">
        <v>0</v>
      </c>
      <c r="K732" s="497"/>
      <c r="L732" s="765"/>
      <c r="M732" s="497"/>
      <c r="N732" s="765"/>
      <c r="O732" s="497"/>
      <c r="P732" s="497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310</v>
      </c>
      <c r="F733" s="762"/>
      <c r="G733" s="188"/>
      <c r="H733" s="763" t="s">
        <v>35</v>
      </c>
      <c r="I733" s="764"/>
      <c r="J733" s="214">
        <v>0</v>
      </c>
      <c r="K733" s="497"/>
      <c r="L733" s="765"/>
      <c r="M733" s="497"/>
      <c r="N733" s="765"/>
      <c r="O733" s="497"/>
      <c r="P733" s="497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8"/>
      <c r="H734" s="763" t="s">
        <v>34</v>
      </c>
      <c r="I734" s="764"/>
      <c r="J734" s="214">
        <v>0</v>
      </c>
      <c r="K734" s="497"/>
      <c r="L734" s="765"/>
      <c r="M734" s="497"/>
      <c r="N734" s="765"/>
      <c r="O734" s="497"/>
      <c r="P734" s="497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311</v>
      </c>
      <c r="C735" s="733"/>
      <c r="D735" s="733"/>
      <c r="E735" s="733"/>
      <c r="F735" s="733"/>
      <c r="G735" s="734"/>
      <c r="H735" s="422" t="s">
        <v>46</v>
      </c>
      <c r="I735" s="771"/>
      <c r="J735" s="424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312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92" t="s">
        <v>17</v>
      </c>
      <c r="E737" s="888"/>
      <c r="F737" s="888"/>
      <c r="G737" s="602"/>
      <c r="H737" s="645" t="s">
        <v>12</v>
      </c>
      <c r="I737" s="616"/>
      <c r="J737" s="616"/>
      <c r="K737" s="92"/>
      <c r="L737" s="646">
        <f>L738+L739</f>
        <v>0</v>
      </c>
      <c r="M737" s="646">
        <f>M738+M739</f>
        <v>0</v>
      </c>
      <c r="N737" s="646">
        <f>N738+N739</f>
        <v>0</v>
      </c>
      <c r="O737" s="646">
        <f t="shared" ref="O737:O742" si="98">IF(L737&gt;0,N737*100/L737,0)</f>
        <v>0</v>
      </c>
      <c r="P737" s="646">
        <f t="shared" ref="P737:P742" si="99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184</v>
      </c>
      <c r="F738" s="758"/>
      <c r="G738" s="602"/>
      <c r="H738" s="164" t="s">
        <v>12</v>
      </c>
      <c r="I738" s="616"/>
      <c r="J738" s="616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185</v>
      </c>
      <c r="F739" s="758"/>
      <c r="G739" s="602"/>
      <c r="H739" s="164" t="s">
        <v>12</v>
      </c>
      <c r="I739" s="616"/>
      <c r="J739" s="616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5"/>
      <c r="J740" s="165"/>
      <c r="K740" s="166"/>
      <c r="L740" s="646">
        <f>L741+L742</f>
        <v>0</v>
      </c>
      <c r="M740" s="646">
        <f>M741+M742</f>
        <v>0</v>
      </c>
      <c r="N740" s="646">
        <f>N741+N742</f>
        <v>0</v>
      </c>
      <c r="O740" s="646">
        <f t="shared" si="98"/>
        <v>0</v>
      </c>
      <c r="P740" s="646">
        <f t="shared" si="99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184</v>
      </c>
      <c r="F741" s="758"/>
      <c r="G741" s="602"/>
      <c r="H741" s="164" t="s">
        <v>12</v>
      </c>
      <c r="I741" s="616"/>
      <c r="J741" s="616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185</v>
      </c>
      <c r="F742" s="758"/>
      <c r="G742" s="602"/>
      <c r="H742" s="164" t="s">
        <v>12</v>
      </c>
      <c r="I742" s="616"/>
      <c r="J742" s="616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186</v>
      </c>
      <c r="G743" s="602"/>
      <c r="H743" s="164" t="s">
        <v>12</v>
      </c>
      <c r="I743" s="616"/>
      <c r="J743" s="616"/>
      <c r="K743" s="92"/>
      <c r="L743" s="92"/>
      <c r="M743" s="92"/>
      <c r="N743" s="92"/>
      <c r="O743" s="92"/>
      <c r="P743" s="92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187</v>
      </c>
      <c r="G744" s="602"/>
      <c r="H744" s="164" t="s">
        <v>12</v>
      </c>
      <c r="I744" s="616"/>
      <c r="J744" s="616"/>
      <c r="K744" s="92"/>
      <c r="L744" s="92"/>
      <c r="M744" s="92"/>
      <c r="N744" s="92"/>
      <c r="O744" s="92"/>
      <c r="P744" s="92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188</v>
      </c>
      <c r="G745" s="602"/>
      <c r="H745" s="164" t="s">
        <v>12</v>
      </c>
      <c r="I745" s="616"/>
      <c r="J745" s="616"/>
      <c r="K745" s="92"/>
      <c r="L745" s="92"/>
      <c r="M745" s="92"/>
      <c r="N745" s="92"/>
      <c r="O745" s="92"/>
      <c r="P745" s="92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189</v>
      </c>
      <c r="G746" s="602"/>
      <c r="H746" s="164" t="s">
        <v>12</v>
      </c>
      <c r="I746" s="616"/>
      <c r="J746" s="616"/>
      <c r="K746" s="92"/>
      <c r="L746" s="92"/>
      <c r="M746" s="92"/>
      <c r="N746" s="92"/>
      <c r="O746" s="92"/>
      <c r="P746" s="92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5"/>
      <c r="J747" s="165"/>
      <c r="K747" s="166"/>
      <c r="L747" s="646">
        <f>L748+L749</f>
        <v>0</v>
      </c>
      <c r="M747" s="646">
        <f>M748+M749</f>
        <v>0</v>
      </c>
      <c r="N747" s="646">
        <f>N748+N749</f>
        <v>0</v>
      </c>
      <c r="O747" s="646">
        <f>IF(L747&gt;0,N747*100/L747,0)</f>
        <v>0</v>
      </c>
      <c r="P747" s="646">
        <f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39" t="s">
        <v>38</v>
      </c>
      <c r="E750" s="650"/>
      <c r="F750" s="650"/>
      <c r="G750" s="651"/>
      <c r="H750" s="365"/>
      <c r="I750" s="165"/>
      <c r="J750" s="165"/>
      <c r="K750" s="166"/>
      <c r="L750" s="166"/>
      <c r="M750" s="166"/>
      <c r="N750" s="166"/>
      <c r="O750" s="166"/>
      <c r="P750" s="166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313</v>
      </c>
      <c r="F751" s="758"/>
      <c r="G751" s="602"/>
      <c r="H751" s="164" t="s">
        <v>46</v>
      </c>
      <c r="I751" s="616"/>
      <c r="J751" s="616"/>
      <c r="K751" s="92"/>
      <c r="L751" s="92"/>
      <c r="M751" s="92"/>
      <c r="N751" s="92"/>
      <c r="O751" s="92"/>
      <c r="P751" s="92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4" t="s">
        <v>314</v>
      </c>
      <c r="I752" s="616"/>
      <c r="J752" s="616"/>
      <c r="K752" s="92"/>
      <c r="L752" s="92"/>
      <c r="M752" s="92"/>
      <c r="N752" s="92"/>
      <c r="O752" s="92"/>
      <c r="P752" s="92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315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92" t="s">
        <v>17</v>
      </c>
      <c r="E754" s="888"/>
      <c r="F754" s="888"/>
      <c r="G754" s="602"/>
      <c r="H754" s="645" t="s">
        <v>12</v>
      </c>
      <c r="I754" s="616"/>
      <c r="J754" s="616"/>
      <c r="K754" s="92"/>
      <c r="L754" s="646">
        <f>L755+L756</f>
        <v>0</v>
      </c>
      <c r="M754" s="646">
        <f>M755+M756</f>
        <v>0</v>
      </c>
      <c r="N754" s="646">
        <f>N755+N756</f>
        <v>0</v>
      </c>
      <c r="O754" s="646">
        <f t="shared" ref="O754:O759" si="101">IF(L754&gt;0,N754*100/L754,0)</f>
        <v>0</v>
      </c>
      <c r="P754" s="646">
        <f t="shared" ref="P754:P759" si="102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184</v>
      </c>
      <c r="F755" s="758"/>
      <c r="G755" s="602"/>
      <c r="H755" s="164" t="s">
        <v>12</v>
      </c>
      <c r="I755" s="616"/>
      <c r="J755" s="616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185</v>
      </c>
      <c r="F756" s="758"/>
      <c r="G756" s="602"/>
      <c r="H756" s="164" t="s">
        <v>12</v>
      </c>
      <c r="I756" s="616"/>
      <c r="J756" s="616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5"/>
      <c r="J757" s="165"/>
      <c r="K757" s="166"/>
      <c r="L757" s="646">
        <f>L758+L759</f>
        <v>0</v>
      </c>
      <c r="M757" s="646">
        <f>M758+M759</f>
        <v>0</v>
      </c>
      <c r="N757" s="646">
        <f>N758+N759</f>
        <v>0</v>
      </c>
      <c r="O757" s="646">
        <f t="shared" si="101"/>
        <v>0</v>
      </c>
      <c r="P757" s="646">
        <f t="shared" si="102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184</v>
      </c>
      <c r="F758" s="758"/>
      <c r="G758" s="602"/>
      <c r="H758" s="164" t="s">
        <v>12</v>
      </c>
      <c r="I758" s="616"/>
      <c r="J758" s="616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185</v>
      </c>
      <c r="F759" s="758"/>
      <c r="G759" s="602"/>
      <c r="H759" s="164" t="s">
        <v>12</v>
      </c>
      <c r="I759" s="616"/>
      <c r="J759" s="616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186</v>
      </c>
      <c r="G760" s="602"/>
      <c r="H760" s="164" t="s">
        <v>12</v>
      </c>
      <c r="I760" s="616"/>
      <c r="J760" s="616"/>
      <c r="K760" s="92"/>
      <c r="L760" s="92"/>
      <c r="M760" s="92"/>
      <c r="N760" s="92"/>
      <c r="O760" s="92"/>
      <c r="P760" s="92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187</v>
      </c>
      <c r="G761" s="602"/>
      <c r="H761" s="164" t="s">
        <v>12</v>
      </c>
      <c r="I761" s="616"/>
      <c r="J761" s="616"/>
      <c r="K761" s="92"/>
      <c r="L761" s="92"/>
      <c r="M761" s="92"/>
      <c r="N761" s="92"/>
      <c r="O761" s="92"/>
      <c r="P761" s="92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188</v>
      </c>
      <c r="G762" s="602"/>
      <c r="H762" s="164" t="s">
        <v>12</v>
      </c>
      <c r="I762" s="616"/>
      <c r="J762" s="616"/>
      <c r="K762" s="92"/>
      <c r="L762" s="92"/>
      <c r="M762" s="92"/>
      <c r="N762" s="92"/>
      <c r="O762" s="92"/>
      <c r="P762" s="92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189</v>
      </c>
      <c r="G763" s="602"/>
      <c r="H763" s="164" t="s">
        <v>12</v>
      </c>
      <c r="I763" s="616"/>
      <c r="J763" s="616"/>
      <c r="K763" s="92"/>
      <c r="L763" s="92"/>
      <c r="M763" s="92"/>
      <c r="N763" s="92"/>
      <c r="O763" s="92"/>
      <c r="P763" s="92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5"/>
      <c r="J764" s="165"/>
      <c r="K764" s="166"/>
      <c r="L764" s="646">
        <f>L765+L766</f>
        <v>0</v>
      </c>
      <c r="M764" s="646">
        <f>M765+M766</f>
        <v>0</v>
      </c>
      <c r="N764" s="646">
        <f>N765+N766</f>
        <v>0</v>
      </c>
      <c r="O764" s="646">
        <f>IF(L764&gt;0,N764*100/L764,0)</f>
        <v>0</v>
      </c>
      <c r="P764" s="646">
        <f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39" t="s">
        <v>38</v>
      </c>
      <c r="E767" s="650"/>
      <c r="F767" s="650"/>
      <c r="G767" s="651"/>
      <c r="H767" s="365"/>
      <c r="I767" s="165"/>
      <c r="J767" s="165"/>
      <c r="K767" s="166"/>
      <c r="L767" s="166"/>
      <c r="M767" s="166"/>
      <c r="N767" s="166"/>
      <c r="O767" s="166"/>
      <c r="P767" s="166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316</v>
      </c>
      <c r="F768" s="758"/>
      <c r="G768" s="602"/>
      <c r="H768" s="164" t="s">
        <v>46</v>
      </c>
      <c r="I768" s="616"/>
      <c r="J768" s="616"/>
      <c r="K768" s="92"/>
      <c r="L768" s="92"/>
      <c r="M768" s="92"/>
      <c r="N768" s="92"/>
      <c r="O768" s="92"/>
      <c r="P768" s="92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317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92" t="s">
        <v>17</v>
      </c>
      <c r="E770" s="888"/>
      <c r="F770" s="888"/>
      <c r="G770" s="602"/>
      <c r="H770" s="645" t="s">
        <v>12</v>
      </c>
      <c r="I770" s="616"/>
      <c r="J770" s="616"/>
      <c r="K770" s="92"/>
      <c r="L770" s="646">
        <f>L771+L772</f>
        <v>0</v>
      </c>
      <c r="M770" s="646">
        <f>M771+M772</f>
        <v>0</v>
      </c>
      <c r="N770" s="646">
        <f>N771+N772</f>
        <v>0</v>
      </c>
      <c r="O770" s="646">
        <f t="shared" ref="O770:O775" si="104">IF(L770&gt;0,N770*100/L770,0)</f>
        <v>0</v>
      </c>
      <c r="P770" s="646">
        <f t="shared" ref="P770:P775" si="105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184</v>
      </c>
      <c r="F771" s="758"/>
      <c r="G771" s="602"/>
      <c r="H771" s="164" t="s">
        <v>12</v>
      </c>
      <c r="I771" s="616"/>
      <c r="J771" s="616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185</v>
      </c>
      <c r="F772" s="758"/>
      <c r="G772" s="602"/>
      <c r="H772" s="164" t="s">
        <v>12</v>
      </c>
      <c r="I772" s="616"/>
      <c r="J772" s="616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5"/>
      <c r="J773" s="165"/>
      <c r="K773" s="166"/>
      <c r="L773" s="646">
        <f>L774+L775</f>
        <v>0</v>
      </c>
      <c r="M773" s="646">
        <f>M774+M775</f>
        <v>0</v>
      </c>
      <c r="N773" s="646">
        <f>N774+N775</f>
        <v>0</v>
      </c>
      <c r="O773" s="646">
        <f t="shared" si="104"/>
        <v>0</v>
      </c>
      <c r="P773" s="646">
        <f t="shared" si="105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184</v>
      </c>
      <c r="F774" s="758"/>
      <c r="G774" s="602"/>
      <c r="H774" s="164" t="s">
        <v>12</v>
      </c>
      <c r="I774" s="616"/>
      <c r="J774" s="616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185</v>
      </c>
      <c r="F775" s="758"/>
      <c r="G775" s="602"/>
      <c r="H775" s="164" t="s">
        <v>12</v>
      </c>
      <c r="I775" s="616"/>
      <c r="J775" s="616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186</v>
      </c>
      <c r="G776" s="602"/>
      <c r="H776" s="164" t="s">
        <v>12</v>
      </c>
      <c r="I776" s="616"/>
      <c r="J776" s="616"/>
      <c r="K776" s="92"/>
      <c r="L776" s="92"/>
      <c r="M776" s="92"/>
      <c r="N776" s="92"/>
      <c r="O776" s="92"/>
      <c r="P776" s="92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187</v>
      </c>
      <c r="G777" s="602"/>
      <c r="H777" s="164" t="s">
        <v>12</v>
      </c>
      <c r="I777" s="616"/>
      <c r="J777" s="616"/>
      <c r="K777" s="92"/>
      <c r="L777" s="92"/>
      <c r="M777" s="92"/>
      <c r="N777" s="92"/>
      <c r="O777" s="92"/>
      <c r="P777" s="92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188</v>
      </c>
      <c r="G778" s="602"/>
      <c r="H778" s="164" t="s">
        <v>12</v>
      </c>
      <c r="I778" s="616"/>
      <c r="J778" s="616"/>
      <c r="K778" s="92"/>
      <c r="L778" s="92"/>
      <c r="M778" s="92"/>
      <c r="N778" s="92"/>
      <c r="O778" s="92"/>
      <c r="P778" s="92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189</v>
      </c>
      <c r="G779" s="602"/>
      <c r="H779" s="164" t="s">
        <v>12</v>
      </c>
      <c r="I779" s="616"/>
      <c r="J779" s="616"/>
      <c r="K779" s="92"/>
      <c r="L779" s="92"/>
      <c r="M779" s="92"/>
      <c r="N779" s="92"/>
      <c r="O779" s="92"/>
      <c r="P779" s="92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5"/>
      <c r="J780" s="165"/>
      <c r="K780" s="166"/>
      <c r="L780" s="646">
        <f>L781+L782</f>
        <v>0</v>
      </c>
      <c r="M780" s="646">
        <f>M781+M782</f>
        <v>0</v>
      </c>
      <c r="N780" s="646">
        <f>N781+N782</f>
        <v>0</v>
      </c>
      <c r="O780" s="646">
        <f>IF(L780&gt;0,N780*100/L780,0)</f>
        <v>0</v>
      </c>
      <c r="P780" s="646">
        <f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39" t="s">
        <v>38</v>
      </c>
      <c r="E783" s="650"/>
      <c r="F783" s="650"/>
      <c r="G783" s="651"/>
      <c r="H783" s="800"/>
      <c r="I783" s="165"/>
      <c r="J783" s="165"/>
      <c r="K783" s="166"/>
      <c r="L783" s="166"/>
      <c r="M783" s="166"/>
      <c r="N783" s="166"/>
      <c r="O783" s="166"/>
      <c r="P783" s="166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318</v>
      </c>
      <c r="F784" s="758"/>
      <c r="G784" s="602"/>
      <c r="H784" s="164" t="s">
        <v>46</v>
      </c>
      <c r="I784" s="616"/>
      <c r="J784" s="616"/>
      <c r="K784" s="92"/>
      <c r="L784" s="92"/>
      <c r="M784" s="92"/>
      <c r="N784" s="92"/>
      <c r="O784" s="92"/>
      <c r="P784" s="92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319</v>
      </c>
      <c r="C785" s="803"/>
      <c r="D785" s="803"/>
      <c r="E785" s="803"/>
      <c r="F785" s="803"/>
      <c r="G785" s="804"/>
      <c r="H785" s="805" t="s">
        <v>46</v>
      </c>
      <c r="I785" s="806">
        <f ca="1">I800</f>
        <v>0</v>
      </c>
      <c r="J785" s="807">
        <f ca="1">J800</f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87" t="s">
        <v>17</v>
      </c>
      <c r="E786" s="888"/>
      <c r="F786" s="888"/>
      <c r="G786" s="188"/>
      <c r="H786" s="597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184</v>
      </c>
      <c r="F787" s="758"/>
      <c r="G787" s="602"/>
      <c r="H787" s="164" t="s">
        <v>12</v>
      </c>
      <c r="I787" s="616"/>
      <c r="J787" s="616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185</v>
      </c>
      <c r="F788" s="758"/>
      <c r="G788" s="602"/>
      <c r="H788" s="164" t="s">
        <v>12</v>
      </c>
      <c r="I788" s="616"/>
      <c r="J788" s="616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184</v>
      </c>
      <c r="F790" s="758"/>
      <c r="G790" s="602"/>
      <c r="H790" s="164" t="s">
        <v>12</v>
      </c>
      <c r="I790" s="616"/>
      <c r="J790" s="616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185</v>
      </c>
      <c r="F791" s="758"/>
      <c r="G791" s="602"/>
      <c r="H791" s="164" t="s">
        <v>12</v>
      </c>
      <c r="I791" s="616"/>
      <c r="J791" s="616"/>
      <c r="K791" s="92"/>
      <c r="L791" s="92">
        <f ca="1">IFERROR(__xludf.DUMMYFUNCTION("IMPORTRANGE(""https://docs.google.com/spreadsheets/d/1QqKyyYR6Q21VydFLVH3TRQUabQu_ym0Zz7PgGX0-kHA/edit?usp=sharing"",""แผน!JJ75"")"),0)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826">
        <v>0</v>
      </c>
      <c r="O792" s="497"/>
      <c r="P792" s="497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826">
        <v>0</v>
      </c>
      <c r="O793" s="497"/>
      <c r="P793" s="497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826">
        <v>0</v>
      </c>
      <c r="O794" s="497"/>
      <c r="P794" s="497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826">
        <v>0</v>
      </c>
      <c r="O795" s="497"/>
      <c r="P795" s="497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38" t="s">
        <v>38</v>
      </c>
      <c r="E799" s="760"/>
      <c r="F799" s="760"/>
      <c r="G799" s="612"/>
      <c r="H799" s="810"/>
      <c r="I799" s="183"/>
      <c r="J799" s="183"/>
      <c r="K799" s="162"/>
      <c r="L799" s="162"/>
      <c r="M799" s="162"/>
      <c r="N799" s="162"/>
      <c r="O799" s="162"/>
      <c r="P799" s="162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320</v>
      </c>
      <c r="G800" s="761"/>
      <c r="H800" s="184" t="s">
        <v>46</v>
      </c>
      <c r="I800" s="183">
        <f ca="1">IFERROR(__xludf.DUMMYFUNCTION("IMPORTRANGE(""https://docs.google.com/spreadsheets/d/1QqKyyYR6Q21VydFLVH3TRQUabQu_ym0Zz7PgGX0-kHA/edit?usp=sharing"",""แผน!JN75"")"),0)</f>
        <v>0</v>
      </c>
      <c r="J800" s="183">
        <f ca="1">IFERROR(__xludf.DUMMYFUNCTION("IMPORTRANGE(""https://docs.google.com/spreadsheets/d/1MaWodYyGHDf7siQLGxnXhG4mBNTNIuy296niS2xXulU/edit?usp=sharing"",""RTK!H75"")"),0)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IFERROR(__xludf.DUMMYFUNCTION("IMPORTRANGE(""https://docs.google.com/spreadsheets/d/1MaWodYyGHDf7siQLGxnXhG4mBNTNIuy296niS2xXulU/edit?usp=sharing"",""RTK!I75"")"),0)</f>
        <v>0</v>
      </c>
      <c r="K801" s="497"/>
      <c r="L801" s="497"/>
      <c r="M801" s="497"/>
      <c r="N801" s="497"/>
      <c r="O801" s="162"/>
      <c r="P801" s="162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321</v>
      </c>
      <c r="G802" s="365"/>
      <c r="H802" s="652" t="s">
        <v>46</v>
      </c>
      <c r="I802" s="165"/>
      <c r="J802" s="616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5"/>
      <c r="H803" s="652" t="s">
        <v>34</v>
      </c>
      <c r="I803" s="165"/>
      <c r="J803" s="616">
        <v>0</v>
      </c>
      <c r="K803" s="166"/>
      <c r="L803" s="166"/>
      <c r="M803" s="166"/>
      <c r="N803" s="166"/>
      <c r="O803" s="166"/>
      <c r="P803" s="166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322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92" t="s">
        <v>17</v>
      </c>
      <c r="E805" s="888"/>
      <c r="F805" s="888"/>
      <c r="G805" s="602"/>
      <c r="H805" s="645" t="s">
        <v>12</v>
      </c>
      <c r="I805" s="616"/>
      <c r="J805" s="616"/>
      <c r="K805" s="92"/>
      <c r="L805" s="646">
        <f>L806+L807</f>
        <v>0</v>
      </c>
      <c r="M805" s="646">
        <f>M806+M807</f>
        <v>0</v>
      </c>
      <c r="N805" s="646">
        <f>N806+N807</f>
        <v>0</v>
      </c>
      <c r="O805" s="646">
        <f t="shared" ref="O805:O810" si="110">IF(L805&gt;0,N805*100/L805,0)</f>
        <v>0</v>
      </c>
      <c r="P805" s="646">
        <f t="shared" ref="P805:P810" si="111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184</v>
      </c>
      <c r="F806" s="758"/>
      <c r="G806" s="602"/>
      <c r="H806" s="164" t="s">
        <v>12</v>
      </c>
      <c r="I806" s="616"/>
      <c r="J806" s="616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185</v>
      </c>
      <c r="F807" s="758"/>
      <c r="G807" s="602"/>
      <c r="H807" s="164" t="s">
        <v>12</v>
      </c>
      <c r="I807" s="616"/>
      <c r="J807" s="616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912" t="s">
        <v>20</v>
      </c>
      <c r="E808" s="888"/>
      <c r="F808" s="888"/>
      <c r="G808" s="602"/>
      <c r="H808" s="645" t="s">
        <v>12</v>
      </c>
      <c r="I808" s="165"/>
      <c r="J808" s="165"/>
      <c r="K808" s="166"/>
      <c r="L808" s="646">
        <f>L809+L810</f>
        <v>0</v>
      </c>
      <c r="M808" s="646">
        <f>M809+M810</f>
        <v>0</v>
      </c>
      <c r="N808" s="646">
        <f>N809+N810</f>
        <v>0</v>
      </c>
      <c r="O808" s="646">
        <f t="shared" si="110"/>
        <v>0</v>
      </c>
      <c r="P808" s="646">
        <f t="shared" si="111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184</v>
      </c>
      <c r="F809" s="758"/>
      <c r="G809" s="602"/>
      <c r="H809" s="164" t="s">
        <v>12</v>
      </c>
      <c r="I809" s="616"/>
      <c r="J809" s="616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185</v>
      </c>
      <c r="F810" s="758"/>
      <c r="G810" s="602"/>
      <c r="H810" s="164" t="s">
        <v>12</v>
      </c>
      <c r="I810" s="616"/>
      <c r="J810" s="616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186</v>
      </c>
      <c r="G811" s="602"/>
      <c r="H811" s="164" t="s">
        <v>12</v>
      </c>
      <c r="I811" s="616"/>
      <c r="J811" s="616"/>
      <c r="K811" s="92"/>
      <c r="L811" s="92"/>
      <c r="M811" s="92"/>
      <c r="N811" s="92"/>
      <c r="O811" s="92"/>
      <c r="P811" s="92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187</v>
      </c>
      <c r="G812" s="602"/>
      <c r="H812" s="164" t="s">
        <v>12</v>
      </c>
      <c r="I812" s="616"/>
      <c r="J812" s="616"/>
      <c r="K812" s="92"/>
      <c r="L812" s="92"/>
      <c r="M812" s="92"/>
      <c r="N812" s="92"/>
      <c r="O812" s="92"/>
      <c r="P812" s="92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188</v>
      </c>
      <c r="G813" s="602"/>
      <c r="H813" s="164" t="s">
        <v>12</v>
      </c>
      <c r="I813" s="616"/>
      <c r="J813" s="616"/>
      <c r="K813" s="92"/>
      <c r="L813" s="92"/>
      <c r="M813" s="92"/>
      <c r="N813" s="92"/>
      <c r="O813" s="92"/>
      <c r="P813" s="92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189</v>
      </c>
      <c r="G814" s="602"/>
      <c r="H814" s="164" t="s">
        <v>12</v>
      </c>
      <c r="I814" s="616"/>
      <c r="J814" s="616"/>
      <c r="K814" s="92"/>
      <c r="L814" s="92"/>
      <c r="M814" s="92"/>
      <c r="N814" s="92"/>
      <c r="O814" s="92"/>
      <c r="P814" s="92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912" t="s">
        <v>21</v>
      </c>
      <c r="E815" s="888"/>
      <c r="F815" s="888"/>
      <c r="G815" s="602"/>
      <c r="H815" s="782" t="s">
        <v>12</v>
      </c>
      <c r="I815" s="165"/>
      <c r="J815" s="165"/>
      <c r="K815" s="166"/>
      <c r="L815" s="646">
        <f>L816+L817</f>
        <v>0</v>
      </c>
      <c r="M815" s="646">
        <f>M816+M817</f>
        <v>0</v>
      </c>
      <c r="N815" s="646">
        <f>N816+N817</f>
        <v>0</v>
      </c>
      <c r="O815" s="646">
        <f>IF(L815&gt;0,N815*100/L815,0)</f>
        <v>0</v>
      </c>
      <c r="P815" s="646">
        <f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37" t="s">
        <v>38</v>
      </c>
      <c r="E818" s="650"/>
      <c r="F818" s="650"/>
      <c r="G818" s="651"/>
      <c r="H818" s="365"/>
      <c r="I818" s="165"/>
      <c r="J818" s="165"/>
      <c r="K818" s="166"/>
      <c r="L818" s="166"/>
      <c r="M818" s="166"/>
      <c r="N818" s="166"/>
      <c r="O818" s="166"/>
      <c r="P818" s="166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323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36" t="s">
        <v>329</v>
      </c>
      <c r="B820" s="834"/>
      <c r="C820" s="834"/>
      <c r="D820" s="835"/>
      <c r="E820" s="834"/>
      <c r="F820" s="834"/>
      <c r="G820" s="833"/>
      <c r="H820" s="832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1"/>
      <c r="J820" s="831"/>
      <c r="K820" s="830"/>
      <c r="L820" s="830"/>
      <c r="M820" s="830"/>
      <c r="N820" s="830"/>
      <c r="O820" s="830"/>
      <c r="P820" s="83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325</v>
      </c>
      <c r="C821" s="762"/>
      <c r="D821" s="574"/>
      <c r="E821" s="762"/>
      <c r="F821" s="762"/>
      <c r="G821" s="188"/>
      <c r="H821" s="622" t="s">
        <v>12</v>
      </c>
      <c r="I821" s="269">
        <f ca="1">IFERROR(__xludf.DUMMYFUNCTION("IMPORTRANGE(""https://docs.google.com/spreadsheets/d/19vJNZY_5yjcGF2XGBMNZRCAIB0Kwfpjp8YEOfu-bneM/edit?usp=sharing"",""งานกองทุน!D75"")"),157301.8)</f>
        <v>157301.79999999999</v>
      </c>
      <c r="J821" s="269">
        <f ca="1">IFERROR(__xludf.DUMMYFUNCTION("IMPORTRANGE(""https://docs.google.com/spreadsheets/d/19vJNZY_5yjcGF2XGBMNZRCAIB0Kwfpjp8YEOfu-bneM/edit?usp=sharing"",""งานกองทุน!F75"")"),338879.86)</f>
        <v>338879.86</v>
      </c>
      <c r="K821" s="497">
        <f t="shared" ref="K821:K828" ca="1" si="113">IF(I821&gt;0,J821*100/I821,0)</f>
        <v>215.43291939443796</v>
      </c>
      <c r="L821" s="497"/>
      <c r="M821" s="497"/>
      <c r="N821" s="497"/>
      <c r="O821" s="497"/>
      <c r="P821" s="497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8"/>
      <c r="H822" s="622" t="s">
        <v>35</v>
      </c>
      <c r="I822" s="269">
        <f ca="1">IFERROR(__xludf.DUMMYFUNCTION("IMPORTRANGE(""https://docs.google.com/spreadsheets/d/19vJNZY_5yjcGF2XGBMNZRCAIB0Kwfpjp8YEOfu-bneM/edit?usp=sharing"",""งานกองทุน!C75"")"),18)</f>
        <v>18</v>
      </c>
      <c r="J822" s="269">
        <f ca="1">IFERROR(__xludf.DUMMYFUNCTION("IMPORTRANGE(""https://docs.google.com/spreadsheets/d/19vJNZY_5yjcGF2XGBMNZRCAIB0Kwfpjp8YEOfu-bneM/edit?usp=sharing"",""งานกองทุน!E75"")"),31)</f>
        <v>31</v>
      </c>
      <c r="K822" s="497">
        <f t="shared" ca="1" si="113"/>
        <v>172.22222222222223</v>
      </c>
      <c r="L822" s="497"/>
      <c r="M822" s="497"/>
      <c r="N822" s="497"/>
      <c r="O822" s="497"/>
      <c r="P822" s="497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326</v>
      </c>
      <c r="C823" s="762"/>
      <c r="D823" s="574"/>
      <c r="E823" s="762"/>
      <c r="F823" s="762"/>
      <c r="G823" s="188"/>
      <c r="H823" s="622" t="s">
        <v>12</v>
      </c>
      <c r="I823" s="269">
        <f ca="1">IFERROR(__xludf.DUMMYFUNCTION("IMPORTRANGE(""https://docs.google.com/spreadsheets/d/19vJNZY_5yjcGF2XGBMNZRCAIB0Kwfpjp8YEOfu-bneM/edit?usp=sharing"",""งานกองทุน!I75"")"),761858.64)</f>
        <v>761858.64</v>
      </c>
      <c r="J823" s="269">
        <f ca="1">IFERROR(__xludf.DUMMYFUNCTION("IMPORTRANGE(""https://docs.google.com/spreadsheets/d/19vJNZY_5yjcGF2XGBMNZRCAIB0Kwfpjp8YEOfu-bneM/edit?usp=sharing"",""งานกองทุน!K75"")"),2003981.27)</f>
        <v>2003981.27</v>
      </c>
      <c r="K823" s="497">
        <f t="shared" ca="1" si="113"/>
        <v>263.03846472096188</v>
      </c>
      <c r="L823" s="497"/>
      <c r="M823" s="497"/>
      <c r="N823" s="497"/>
      <c r="O823" s="497"/>
      <c r="P823" s="497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8"/>
      <c r="H824" s="622" t="s">
        <v>35</v>
      </c>
      <c r="I824" s="269">
        <f ca="1">IFERROR(__xludf.DUMMYFUNCTION("IMPORTRANGE(""https://docs.google.com/spreadsheets/d/19vJNZY_5yjcGF2XGBMNZRCAIB0Kwfpjp8YEOfu-bneM/edit?usp=sharing"",""งานกองทุน!H75"")"),26)</f>
        <v>26</v>
      </c>
      <c r="J824" s="269">
        <f ca="1">IFERROR(__xludf.DUMMYFUNCTION("IMPORTRANGE(""https://docs.google.com/spreadsheets/d/19vJNZY_5yjcGF2XGBMNZRCAIB0Kwfpjp8YEOfu-bneM/edit?usp=sharing"",""งานกองทุน!J75"")"),139)</f>
        <v>139</v>
      </c>
      <c r="K824" s="497">
        <f t="shared" ca="1" si="113"/>
        <v>534.61538461538464</v>
      </c>
      <c r="L824" s="497"/>
      <c r="M824" s="497"/>
      <c r="N824" s="497"/>
      <c r="O824" s="497"/>
      <c r="P824" s="497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327</v>
      </c>
      <c r="C825" s="762"/>
      <c r="D825" s="574"/>
      <c r="E825" s="762"/>
      <c r="F825" s="762"/>
      <c r="G825" s="188"/>
      <c r="H825" s="622" t="s">
        <v>12</v>
      </c>
      <c r="I825" s="269">
        <f ca="1">IFERROR(__xludf.DUMMYFUNCTION("IMPORTRANGE(""https://docs.google.com/spreadsheets/d/19vJNZY_5yjcGF2XGBMNZRCAIB0Kwfpjp8YEOfu-bneM/edit?usp=sharing"",""งานกองทุน!N75"")"),0)</f>
        <v>0</v>
      </c>
      <c r="J825" s="269">
        <f ca="1">IFERROR(__xludf.DUMMYFUNCTION("IMPORTRANGE(""https://docs.google.com/spreadsheets/d/19vJNZY_5yjcGF2XGBMNZRCAIB0Kwfpjp8YEOfu-bneM/edit?usp=sharing"",""งานกองทุน!P75"")"),0)</f>
        <v>0</v>
      </c>
      <c r="K825" s="497">
        <f t="shared" ca="1" si="113"/>
        <v>0</v>
      </c>
      <c r="L825" s="497"/>
      <c r="M825" s="497"/>
      <c r="N825" s="497"/>
      <c r="O825" s="497"/>
      <c r="P825" s="497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8"/>
      <c r="H826" s="622" t="s">
        <v>35</v>
      </c>
      <c r="I826" s="269">
        <f ca="1">IFERROR(__xludf.DUMMYFUNCTION("IMPORTRANGE(""https://docs.google.com/spreadsheets/d/19vJNZY_5yjcGF2XGBMNZRCAIB0Kwfpjp8YEOfu-bneM/edit?usp=sharing"",""งานกองทุน!M75"")"),0)</f>
        <v>0</v>
      </c>
      <c r="J826" s="269">
        <f ca="1">IFERROR(__xludf.DUMMYFUNCTION("IMPORTRANGE(""https://docs.google.com/spreadsheets/d/19vJNZY_5yjcGF2XGBMNZRCAIB0Kwfpjp8YEOfu-bneM/edit?usp=sharing"",""งานกองทุน!O75"")"),0)</f>
        <v>0</v>
      </c>
      <c r="K826" s="497">
        <f t="shared" ca="1" si="113"/>
        <v>0</v>
      </c>
      <c r="L826" s="497"/>
      <c r="M826" s="497"/>
      <c r="N826" s="497"/>
      <c r="O826" s="497"/>
      <c r="P826" s="497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328</v>
      </c>
      <c r="C827" s="762"/>
      <c r="D827" s="574"/>
      <c r="E827" s="762"/>
      <c r="F827" s="762"/>
      <c r="G827" s="188"/>
      <c r="H827" s="622" t="s">
        <v>12</v>
      </c>
      <c r="I827" s="269">
        <f ca="1">IFERROR(__xludf.DUMMYFUNCTION("IMPORTRANGE(""https://docs.google.com/spreadsheets/d/19vJNZY_5yjcGF2XGBMNZRCAIB0Kwfpjp8YEOfu-bneM/edit?usp=sharing"",""งานกองทุน!S75"")"),280000)</f>
        <v>280000</v>
      </c>
      <c r="J827" s="269">
        <f ca="1">IFERROR(__xludf.DUMMYFUNCTION("IMPORTRANGE(""https://docs.google.com/spreadsheets/d/19vJNZY_5yjcGF2XGBMNZRCAIB0Kwfpjp8YEOfu-bneM/edit?usp=sharing"",""งานกองทุน!U75"")"),400000)</f>
        <v>400000</v>
      </c>
      <c r="K827" s="497">
        <f t="shared" ca="1" si="113"/>
        <v>142.85714285714286</v>
      </c>
      <c r="L827" s="497"/>
      <c r="M827" s="497"/>
      <c r="N827" s="497"/>
      <c r="O827" s="497"/>
      <c r="P827" s="497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827"/>
      <c r="B828" s="748"/>
      <c r="C828" s="748"/>
      <c r="D828" s="747"/>
      <c r="E828" s="748"/>
      <c r="F828" s="748"/>
      <c r="G828" s="828"/>
      <c r="H828" s="829" t="s">
        <v>35</v>
      </c>
      <c r="I828" s="505">
        <f ca="1">IFERROR(__xludf.DUMMYFUNCTION("IMPORTRANGE(""https://docs.google.com/spreadsheets/d/19vJNZY_5yjcGF2XGBMNZRCAIB0Kwfpjp8YEOfu-bneM/edit?usp=sharing"",""งานกองทุน!R75"")"),11)</f>
        <v>11</v>
      </c>
      <c r="J828" s="505">
        <f ca="1">IFERROR(__xludf.DUMMYFUNCTION("IMPORTRANGE(""https://docs.google.com/spreadsheets/d/19vJNZY_5yjcGF2XGBMNZRCAIB0Kwfpjp8YEOfu-bneM/edit?usp=sharing"",""งานกองทุน!T75"")"),8)</f>
        <v>8</v>
      </c>
      <c r="K828" s="506">
        <f t="shared" ca="1" si="113"/>
        <v>72.727272727272734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 gridLines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4FFA2-CD34-43BA-8C35-45BCA102F246}">
  <sheetPr>
    <outlinePr summaryBelow="0" summaryRight="0"/>
    <pageSetUpPr fitToPage="1"/>
  </sheetPr>
  <dimension ref="A1:Z828"/>
  <sheetViews>
    <sheetView view="pageBreakPreview" zoomScale="50" zoomScaleNormal="10" zoomScaleSheetLayoutView="50" workbookViewId="0">
      <pane ySplit="6" topLeftCell="A7" activePane="bottomLeft" state="frozen"/>
      <selection activeCell="X18" sqref="X18:X21"/>
      <selection pane="bottomLeft" activeCell="X18" sqref="X18:X2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20.140625" bestFit="1" customWidth="1"/>
    <col min="16" max="16" width="22" bestFit="1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335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354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>
        <v>3</v>
      </c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4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5716951</v>
      </c>
      <c r="M8" s="21">
        <f ca="1">M9+M10</f>
        <v>6533444.2999999998</v>
      </c>
      <c r="N8" s="21">
        <f ca="1">N9+N10</f>
        <v>6533444.2999999998</v>
      </c>
      <c r="O8" s="21">
        <f t="shared" ref="O8:O16" ca="1" si="0">IF(L8&gt;0,N8*100/L8,0)</f>
        <v>114.28197128154501</v>
      </c>
      <c r="P8" s="21">
        <f t="shared" ref="P8:P16" ca="1" si="1">IF(M8&gt;0,N8*100/M8,0)</f>
        <v>100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5716951</v>
      </c>
      <c r="M10" s="29">
        <f t="shared" ca="1" si="2"/>
        <v>6533444.2999999998</v>
      </c>
      <c r="N10" s="29">
        <f t="shared" ca="1" si="2"/>
        <v>6533444.2999999998</v>
      </c>
      <c r="O10" s="29">
        <f t="shared" ca="1" si="0"/>
        <v>114.28197128154501</v>
      </c>
      <c r="P10" s="29">
        <f t="shared" ca="1" si="1"/>
        <v>100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22" t="s">
        <v>12</v>
      </c>
      <c r="I11" s="269"/>
      <c r="J11" s="269"/>
      <c r="K11" s="497"/>
      <c r="L11" s="497">
        <f ca="1">L12+L13</f>
        <v>5372151</v>
      </c>
      <c r="M11" s="497">
        <f ca="1">M12+M13</f>
        <v>6165644.2999999998</v>
      </c>
      <c r="N11" s="497">
        <f ca="1">N12+N13</f>
        <v>6165644.2999999998</v>
      </c>
      <c r="O11" s="497">
        <f t="shared" ca="1" si="0"/>
        <v>114.77049509591224</v>
      </c>
      <c r="P11" s="497">
        <f t="shared" ca="1" si="1"/>
        <v>100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6"/>
      <c r="J12" s="616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6"/>
      <c r="J13" s="616"/>
      <c r="K13" s="92"/>
      <c r="L13" s="92">
        <f t="shared" ca="1" si="3"/>
        <v>5372151</v>
      </c>
      <c r="M13" s="92">
        <f t="shared" ca="1" si="3"/>
        <v>6165644.2999999998</v>
      </c>
      <c r="N13" s="92">
        <f t="shared" ca="1" si="3"/>
        <v>6165644.2999999998</v>
      </c>
      <c r="O13" s="92">
        <f t="shared" ca="1" si="0"/>
        <v>114.77049509591224</v>
      </c>
      <c r="P13" s="92">
        <f t="shared" ca="1" si="1"/>
        <v>100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22" t="s">
        <v>12</v>
      </c>
      <c r="I14" s="269"/>
      <c r="J14" s="269"/>
      <c r="K14" s="497"/>
      <c r="L14" s="497">
        <f ca="1">L15+L16</f>
        <v>344800</v>
      </c>
      <c r="M14" s="497">
        <f ca="1">M15+M16</f>
        <v>367800</v>
      </c>
      <c r="N14" s="497">
        <f ca="1">N15+N16</f>
        <v>367800</v>
      </c>
      <c r="O14" s="497">
        <f t="shared" ca="1" si="0"/>
        <v>106.67053364269141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6"/>
      <c r="J15" s="616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344800</v>
      </c>
      <c r="M16" s="51">
        <f t="shared" ca="1" si="4"/>
        <v>367800</v>
      </c>
      <c r="N16" s="51">
        <f t="shared" ca="1" si="4"/>
        <v>367800</v>
      </c>
      <c r="O16" s="51">
        <f t="shared" ca="1" si="0"/>
        <v>106.67053364269141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3606245</v>
      </c>
      <c r="M18" s="21">
        <f ca="1">M19+M20</f>
        <v>4373248.3</v>
      </c>
      <c r="N18" s="21">
        <f ca="1">N19+N20</f>
        <v>4373248.3</v>
      </c>
      <c r="O18" s="21">
        <f t="shared" ref="O18:O26" ca="1" si="5">IF(L18&gt;0,N18*100/L18,0)</f>
        <v>121.26875184575646</v>
      </c>
      <c r="P18" s="21">
        <f t="shared" ref="P18:P26" ca="1" si="6">IF(M18&gt;0,N18*100/M18,0)</f>
        <v>100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3606245</v>
      </c>
      <c r="M20" s="29">
        <f t="shared" ca="1" si="7"/>
        <v>4373248.3</v>
      </c>
      <c r="N20" s="29">
        <f t="shared" ca="1" si="7"/>
        <v>4373248.3</v>
      </c>
      <c r="O20" s="29">
        <f t="shared" ca="1" si="5"/>
        <v>121.26875184575646</v>
      </c>
      <c r="P20" s="29">
        <f t="shared" ca="1" si="6"/>
        <v>100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22" t="s">
        <v>12</v>
      </c>
      <c r="I21" s="269"/>
      <c r="J21" s="269"/>
      <c r="K21" s="497"/>
      <c r="L21" s="497">
        <f ca="1">L22+L23</f>
        <v>3261445</v>
      </c>
      <c r="M21" s="497">
        <f ca="1">M22+M23</f>
        <v>4005448.3</v>
      </c>
      <c r="N21" s="497">
        <f ca="1">N22+N23</f>
        <v>4005448.3</v>
      </c>
      <c r="O21" s="497">
        <f t="shared" ca="1" si="5"/>
        <v>122.81207562905399</v>
      </c>
      <c r="P21" s="497">
        <f t="shared" ca="1" si="6"/>
        <v>100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6"/>
      <c r="J22" s="616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6"/>
      <c r="J23" s="616"/>
      <c r="K23" s="92"/>
      <c r="L23" s="92">
        <f t="shared" ca="1" si="8"/>
        <v>3261445</v>
      </c>
      <c r="M23" s="92">
        <f t="shared" ca="1" si="8"/>
        <v>4005448.3</v>
      </c>
      <c r="N23" s="92">
        <f t="shared" ca="1" si="8"/>
        <v>4005448.3</v>
      </c>
      <c r="O23" s="92">
        <f t="shared" ca="1" si="5"/>
        <v>122.81207562905399</v>
      </c>
      <c r="P23" s="92">
        <f t="shared" ca="1" si="6"/>
        <v>100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22" t="s">
        <v>12</v>
      </c>
      <c r="I24" s="269"/>
      <c r="J24" s="269"/>
      <c r="K24" s="497"/>
      <c r="L24" s="497">
        <f ca="1">L25+L26</f>
        <v>344800</v>
      </c>
      <c r="M24" s="497">
        <f ca="1">M25+M26</f>
        <v>367800</v>
      </c>
      <c r="N24" s="497">
        <f ca="1">N25+N26</f>
        <v>367800</v>
      </c>
      <c r="O24" s="497">
        <f t="shared" ca="1" si="5"/>
        <v>106.67053364269141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6"/>
      <c r="J25" s="616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344800</v>
      </c>
      <c r="M26" s="51">
        <f t="shared" ca="1" si="9"/>
        <v>367800</v>
      </c>
      <c r="N26" s="51">
        <f t="shared" ca="1" si="9"/>
        <v>367800</v>
      </c>
      <c r="O26" s="51">
        <f t="shared" ca="1" si="5"/>
        <v>106.67053364269141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2110706</v>
      </c>
      <c r="M28" s="21">
        <f ca="1">M29+M30</f>
        <v>2160196</v>
      </c>
      <c r="N28" s="21">
        <f>N29+N30</f>
        <v>2160196</v>
      </c>
      <c r="O28" s="21">
        <f t="shared" ref="O28:O37" ca="1" si="10">IF(L28&gt;0,N28*100/L28,0)</f>
        <v>102.34471309599726</v>
      </c>
      <c r="P28" s="21">
        <f t="shared" ref="P28:P37" ca="1" si="11">IF(M28&gt;0,N28*100/M28,0)</f>
        <v>100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2110706</v>
      </c>
      <c r="M30" s="29">
        <f t="shared" ca="1" si="12"/>
        <v>2160196</v>
      </c>
      <c r="N30" s="29">
        <f t="shared" si="12"/>
        <v>2160196</v>
      </c>
      <c r="O30" s="29">
        <f t="shared" ca="1" si="10"/>
        <v>102.34471309599726</v>
      </c>
      <c r="P30" s="29">
        <f t="shared" ca="1" si="11"/>
        <v>100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22" t="s">
        <v>12</v>
      </c>
      <c r="I31" s="269"/>
      <c r="J31" s="269"/>
      <c r="K31" s="497"/>
      <c r="L31" s="497">
        <f ca="1">L32+L33</f>
        <v>2110706</v>
      </c>
      <c r="M31" s="497">
        <f ca="1">M32+M33</f>
        <v>2160196</v>
      </c>
      <c r="N31" s="497">
        <f>N32+N33</f>
        <v>2160196</v>
      </c>
      <c r="O31" s="497">
        <f t="shared" ca="1" si="10"/>
        <v>102.34471309599726</v>
      </c>
      <c r="P31" s="497">
        <f t="shared" ca="1" si="11"/>
        <v>100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6"/>
      <c r="J32" s="616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6"/>
      <c r="J33" s="616"/>
      <c r="K33" s="92"/>
      <c r="L33" s="92">
        <f t="shared" ca="1" si="13"/>
        <v>2110706</v>
      </c>
      <c r="M33" s="92">
        <f t="shared" ca="1" si="13"/>
        <v>2160196</v>
      </c>
      <c r="N33" s="92">
        <f t="shared" si="13"/>
        <v>2160196</v>
      </c>
      <c r="O33" s="92">
        <f t="shared" ca="1" si="10"/>
        <v>102.34471309599726</v>
      </c>
      <c r="P33" s="92">
        <f t="shared" ca="1" si="11"/>
        <v>100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22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6"/>
      <c r="J35" s="616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868" t="s">
        <v>24</v>
      </c>
      <c r="B37" s="867"/>
      <c r="C37" s="867"/>
      <c r="D37" s="867"/>
      <c r="E37" s="867"/>
      <c r="F37" s="867"/>
      <c r="G37" s="866"/>
      <c r="H37" s="865"/>
      <c r="I37" s="864"/>
      <c r="J37" s="864"/>
      <c r="K37" s="863"/>
      <c r="L37" s="862">
        <f ca="1">L41+L53+L66+L88+L119+L132+L149+L165+L181+L261+L277+L298+L315+L328+L345+L389+L402</f>
        <v>3606245</v>
      </c>
      <c r="M37" s="862">
        <f ca="1">M41+M53+M66+M88+M119+M132+M149+M165+M181+M261+M277+M298+M315+M328+M345+M389+M402</f>
        <v>4373248.3</v>
      </c>
      <c r="N37" s="862">
        <f ca="1">N41+N53+N66+N88+N119+N132+N149+N165+N181+N261+N277+N298+N315+N328+N345+N389+N402</f>
        <v>4373248.3</v>
      </c>
      <c r="O37" s="862">
        <f t="shared" ca="1" si="10"/>
        <v>121.26875184575646</v>
      </c>
      <c r="P37" s="862">
        <f t="shared" ca="1" si="11"/>
        <v>100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9" t="s">
        <v>27</v>
      </c>
      <c r="C40" s="888"/>
      <c r="D40" s="888"/>
      <c r="E40" s="888"/>
      <c r="F40" s="888"/>
      <c r="G40" s="894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1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599200</v>
      </c>
      <c r="M41" s="84">
        <f ca="1">M42+M43</f>
        <v>677467.5</v>
      </c>
      <c r="N41" s="84">
        <f ca="1">N42+N43</f>
        <v>677467.5</v>
      </c>
      <c r="O41" s="84">
        <f t="shared" ref="O41:O49" ca="1" si="15">IF(L41&gt;0,N41*100/L41,0)</f>
        <v>113.06199933244326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599200</v>
      </c>
      <c r="M43" s="91">
        <f t="shared" ca="1" si="17"/>
        <v>677467.5</v>
      </c>
      <c r="N43" s="91">
        <f t="shared" ca="1" si="17"/>
        <v>677467.5</v>
      </c>
      <c r="O43" s="91">
        <f t="shared" ca="1" si="15"/>
        <v>113.06199933244326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22" t="s">
        <v>12</v>
      </c>
      <c r="I44" s="269"/>
      <c r="J44" s="269"/>
      <c r="K44" s="497"/>
      <c r="L44" s="497">
        <f ca="1">L45+L46</f>
        <v>599200</v>
      </c>
      <c r="M44" s="497">
        <f ca="1">M45+M46</f>
        <v>677467.5</v>
      </c>
      <c r="N44" s="497">
        <f ca="1">N45+N46</f>
        <v>677467.5</v>
      </c>
      <c r="O44" s="497">
        <f t="shared" ca="1" si="15"/>
        <v>113.06199933244326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6"/>
      <c r="J45" s="616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6"/>
      <c r="J46" s="616"/>
      <c r="K46" s="92"/>
      <c r="L46" s="92">
        <f ca="1">IFERROR(__xludf.DUMMYFUNCTION("IMPORTRANGE(""https://docs.google.com/spreadsheets/d/1MeEWN-I1oV_STSDYn1IFDPWt_1FKiwhDph83XaGc0o0/edit?usp=sharing"",""งบพรบ!M76"")"),599200)</f>
        <v>599200</v>
      </c>
      <c r="M46" s="92">
        <f ca="1">IFERROR(__xludf.DUMMYFUNCTION("IMPORTRANGE(""https://docs.google.com/spreadsheets/d/1MeEWN-I1oV_STSDYn1IFDPWt_1FKiwhDph83XaGc0o0/edit?usp=sharing"",""งบพรบ!R76"")"),677467.5)</f>
        <v>677467.5</v>
      </c>
      <c r="N46" s="92">
        <f ca="1">IFERROR(__xludf.DUMMYFUNCTION("IMPORTRANGE(""https://docs.google.com/spreadsheets/d/1MeEWN-I1oV_STSDYn1IFDPWt_1FKiwhDph83XaGc0o0/edit?usp=sharing"",""งบพรบ!T76"")"),677467.5)</f>
        <v>677467.5</v>
      </c>
      <c r="O46" s="92">
        <f t="shared" ca="1" si="15"/>
        <v>113.06199933244326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22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6"/>
      <c r="J48" s="616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IFERROR(__xludf.DUMMYFUNCTION("IMPORTRANGE(""https://docs.google.com/spreadsheets/d/1MeEWN-I1oV_STSDYn1IFDPWt_1FKiwhDph83XaGc0o0/edit?usp=sharing"",""งบพรบ!P76"")"),0)</f>
        <v>0</v>
      </c>
      <c r="M49" s="51">
        <f ca="1">IFERROR(__xludf.DUMMYFUNCTION("IMPORTRANGE(""https://docs.google.com/spreadsheets/d/1MeEWN-I1oV_STSDYn1IFDPWt_1FKiwhDph83XaGc0o0/edit?usp=sharing"",""งบพรบ!S76"")"),0)</f>
        <v>0</v>
      </c>
      <c r="N49" s="51">
        <f ca="1">IFERROR(__xludf.DUMMYFUNCTION("IMPORTRANGE(""https://docs.google.com/spreadsheets/d/1MeEWN-I1oV_STSDYn1IFDPWt_1FKiwhDph83XaGc0o0/edit?usp=sharing"",""งบพรบ!U76"")"),0)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3" t="s">
        <v>29</v>
      </c>
      <c r="C51" s="888"/>
      <c r="D51" s="888"/>
      <c r="E51" s="888"/>
      <c r="F51" s="888"/>
      <c r="G51" s="894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726500</v>
      </c>
      <c r="M53" s="115">
        <f ca="1">M54+M55</f>
        <v>808805.8</v>
      </c>
      <c r="N53" s="115">
        <f ca="1">N54+N55</f>
        <v>808805.8</v>
      </c>
      <c r="O53" s="115">
        <f t="shared" ref="O53:O61" ca="1" si="18">IF(L53&gt;0,N53*100/L53,0)</f>
        <v>111.32908465244321</v>
      </c>
      <c r="P53" s="115">
        <f t="shared" ref="P53:P61" ca="1" si="19">IF(M53&gt;0,N53*100/M53,0)</f>
        <v>100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726500</v>
      </c>
      <c r="M55" s="122">
        <f t="shared" ca="1" si="20"/>
        <v>808805.8</v>
      </c>
      <c r="N55" s="122">
        <f t="shared" ca="1" si="20"/>
        <v>808805.8</v>
      </c>
      <c r="O55" s="122">
        <f t="shared" ca="1" si="18"/>
        <v>111.32908465244321</v>
      </c>
      <c r="P55" s="122">
        <f t="shared" ca="1" si="19"/>
        <v>100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22" t="s">
        <v>12</v>
      </c>
      <c r="I56" s="269"/>
      <c r="J56" s="269"/>
      <c r="K56" s="497"/>
      <c r="L56" s="497">
        <f ca="1">L57+L58</f>
        <v>686700</v>
      </c>
      <c r="M56" s="497">
        <f ca="1">M57+M58</f>
        <v>746005.8</v>
      </c>
      <c r="N56" s="497">
        <f ca="1">N57+N58</f>
        <v>746005.8</v>
      </c>
      <c r="O56" s="497">
        <f t="shared" ca="1" si="18"/>
        <v>108.63634775010922</v>
      </c>
      <c r="P56" s="497">
        <f t="shared" ca="1" si="19"/>
        <v>100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6"/>
      <c r="J57" s="616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6"/>
      <c r="J58" s="616"/>
      <c r="K58" s="92"/>
      <c r="L58" s="92">
        <f ca="1">IFERROR(__xludf.DUMMYFUNCTION("IMPORTRANGE(""https://docs.google.com/spreadsheets/d/1MeEWN-I1oV_STSDYn1IFDPWt_1FKiwhDph83XaGc0o0/edit?usp=sharing"",""งบพรบ!W76"")"),686700)</f>
        <v>686700</v>
      </c>
      <c r="M58" s="92">
        <f ca="1">IFERROR(__xludf.DUMMYFUNCTION("IMPORTRANGE(""https://docs.google.com/spreadsheets/d/1MeEWN-I1oV_STSDYn1IFDPWt_1FKiwhDph83XaGc0o0/edit?usp=sharing"",""งบพรบ!AB76"")"),746005.8)</f>
        <v>746005.8</v>
      </c>
      <c r="N58" s="92">
        <f ca="1">IFERROR(__xludf.DUMMYFUNCTION("IMPORTRANGE(""https://docs.google.com/spreadsheets/d/1MeEWN-I1oV_STSDYn1IFDPWt_1FKiwhDph83XaGc0o0/edit?usp=sharing"",""งบพรบ!AD76"")"),746005.8)</f>
        <v>746005.8</v>
      </c>
      <c r="O58" s="92">
        <f t="shared" ca="1" si="18"/>
        <v>108.63634775010922</v>
      </c>
      <c r="P58" s="92">
        <f t="shared" ca="1" si="19"/>
        <v>100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22" t="s">
        <v>12</v>
      </c>
      <c r="I59" s="269"/>
      <c r="J59" s="269"/>
      <c r="K59" s="497"/>
      <c r="L59" s="497">
        <f ca="1">L60+L61</f>
        <v>39800</v>
      </c>
      <c r="M59" s="497">
        <f ca="1">M60+M61</f>
        <v>62800</v>
      </c>
      <c r="N59" s="497">
        <f ca="1">N60+N61</f>
        <v>62800</v>
      </c>
      <c r="O59" s="497">
        <f t="shared" ca="1" si="18"/>
        <v>157.7889447236181</v>
      </c>
      <c r="P59" s="497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6"/>
      <c r="J60" s="616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IFERROR(__xludf.DUMMYFUNCTION("IMPORTRANGE(""https://docs.google.com/spreadsheets/d/1MeEWN-I1oV_STSDYn1IFDPWt_1FKiwhDph83XaGc0o0/edit?usp=sharing"",""งบพรบ!Z76"")"),39800)</f>
        <v>39800</v>
      </c>
      <c r="M61" s="51">
        <f ca="1">IFERROR(__xludf.DUMMYFUNCTION("IMPORTRANGE(""https://docs.google.com/spreadsheets/d/1MeEWN-I1oV_STSDYn1IFDPWt_1FKiwhDph83XaGc0o0/edit?usp=sharing"",""งบพรบ!AC76"")"),62800)</f>
        <v>62800</v>
      </c>
      <c r="N61" s="51">
        <f ca="1">IFERROR(__xludf.DUMMYFUNCTION("IMPORTRANGE(""https://docs.google.com/spreadsheets/d/1MeEWN-I1oV_STSDYn1IFDPWt_1FKiwhDph83XaGc0o0/edit?usp=sharing"",""งบพรบ!AE76"")"),62800)</f>
        <v>62800</v>
      </c>
      <c r="O61" s="51">
        <f t="shared" ca="1" si="18"/>
        <v>157.7889447236181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1</v>
      </c>
      <c r="J64" s="143">
        <f>J76</f>
        <v>1</v>
      </c>
      <c r="K64" s="144">
        <f ca="1">IF(I64&gt;0,J64*100/I64,0)</f>
        <v>100</v>
      </c>
      <c r="L64" s="145"/>
      <c r="M64" s="145"/>
      <c r="N64" s="145"/>
      <c r="O64" s="145"/>
      <c r="P64" s="145"/>
    </row>
    <row r="65" spans="1:26" ht="19.5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30</v>
      </c>
      <c r="J65" s="143">
        <f>J77</f>
        <v>30</v>
      </c>
      <c r="K65" s="144">
        <f ca="1">IF(I65&gt;0,J65*100/I65,0)</f>
        <v>100</v>
      </c>
      <c r="L65" s="145"/>
      <c r="M65" s="145"/>
      <c r="N65" s="145"/>
      <c r="O65" s="145"/>
      <c r="P65" s="145"/>
    </row>
    <row r="66" spans="1:26" ht="19.5">
      <c r="A66" s="146"/>
      <c r="B66" s="147"/>
      <c r="C66" s="148" t="s">
        <v>16</v>
      </c>
      <c r="D66" s="846" t="s">
        <v>17</v>
      </c>
      <c r="E66" s="147"/>
      <c r="F66" s="147"/>
      <c r="G66" s="150"/>
      <c r="H66" s="151" t="s">
        <v>12</v>
      </c>
      <c r="I66" s="420"/>
      <c r="J66" s="420"/>
      <c r="K66" s="153"/>
      <c r="L66" s="154">
        <f ca="1">L67+L68</f>
        <v>795800</v>
      </c>
      <c r="M66" s="154">
        <f ca="1">M67+M68</f>
        <v>1055800</v>
      </c>
      <c r="N66" s="154">
        <f ca="1">N67+N68</f>
        <v>1055800</v>
      </c>
      <c r="O66" s="154">
        <f t="shared" ref="O66:O74" ca="1" si="21">IF(L66&gt;0,N66*100/L66,0)</f>
        <v>132.67152550892183</v>
      </c>
      <c r="P66" s="154">
        <f t="shared" ref="P66:P74" ca="1" si="22">IF(M66&gt;0,N66*100/M66,0)</f>
        <v>100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6"/>
      <c r="J67" s="616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6"/>
      <c r="J68" s="616"/>
      <c r="K68" s="92"/>
      <c r="L68" s="92">
        <f t="shared" ca="1" si="23"/>
        <v>795800</v>
      </c>
      <c r="M68" s="92">
        <f t="shared" ca="1" si="23"/>
        <v>1055800</v>
      </c>
      <c r="N68" s="92">
        <f t="shared" ca="1" si="23"/>
        <v>1055800</v>
      </c>
      <c r="O68" s="92">
        <f t="shared" ca="1" si="21"/>
        <v>132.67152550892183</v>
      </c>
      <c r="P68" s="92">
        <f t="shared" ca="1" si="22"/>
        <v>100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795800</v>
      </c>
      <c r="M69" s="497">
        <f ca="1">M70+M71</f>
        <v>1055800</v>
      </c>
      <c r="N69" s="497">
        <f ca="1">N70+N71</f>
        <v>1055800</v>
      </c>
      <c r="O69" s="497">
        <f t="shared" ca="1" si="21"/>
        <v>132.67152550892183</v>
      </c>
      <c r="P69" s="497">
        <f t="shared" ca="1" si="22"/>
        <v>100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IFERROR(__xludf.DUMMYFUNCTION("IMPORTRANGE(""https://docs.google.com/spreadsheets/d/1MeEWN-I1oV_STSDYn1IFDPWt_1FKiwhDph83XaGc0o0/edit?usp=sharing"",""งบพรบ!AG76"")"),795800)</f>
        <v>795800</v>
      </c>
      <c r="M71" s="92">
        <f ca="1">IFERROR(__xludf.DUMMYFUNCTION("IMPORTRANGE(""https://docs.google.com/spreadsheets/d/1MeEWN-I1oV_STSDYn1IFDPWt_1FKiwhDph83XaGc0o0/edit?usp=sharing"",""งบพรบ!AL76"")"),1055800)</f>
        <v>1055800</v>
      </c>
      <c r="N71" s="92">
        <f ca="1">IFERROR(__xludf.DUMMYFUNCTION("IMPORTRANGE(""https://docs.google.com/spreadsheets/d/1MeEWN-I1oV_STSDYn1IFDPWt_1FKiwhDph83XaGc0o0/edit?usp=sharing"",""งบพรบ!AN76"")"),1055800)</f>
        <v>1055800</v>
      </c>
      <c r="O71" s="92">
        <f t="shared" ca="1" si="21"/>
        <v>132.67152550892183</v>
      </c>
      <c r="P71" s="92">
        <f t="shared" ca="1" si="22"/>
        <v>100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IFERROR(__xludf.DUMMYFUNCTION("IMPORTRANGE(""https://docs.google.com/spreadsheets/d/1MeEWN-I1oV_STSDYn1IFDPWt_1FKiwhDph83XaGc0o0/edit?usp=sharing"",""งบพรบ!AJ76"")"),0)</f>
        <v>0</v>
      </c>
      <c r="M74" s="92">
        <f ca="1">IFERROR(__xludf.DUMMYFUNCTION("IMPORTRANGE(""https://docs.google.com/spreadsheets/d/1MeEWN-I1oV_STSDYn1IFDPWt_1FKiwhDph83XaGc0o0/edit?usp=sharing"",""งบพรบ!AM76"")"),0)</f>
        <v>0</v>
      </c>
      <c r="N74" s="92">
        <f ca="1">IFERROR(__xludf.DUMMYFUNCTION("IMPORTRANGE(""https://docs.google.com/spreadsheets/d/1MeEWN-I1oV_STSDYn1IFDPWt_1FKiwhDph83XaGc0o0/edit?usp=sharing"",""งบพรบ!AO76"")"),0)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>
      <c r="A75" s="169"/>
      <c r="B75" s="170"/>
      <c r="C75" s="163" t="s">
        <v>16</v>
      </c>
      <c r="D75" s="847" t="s">
        <v>38</v>
      </c>
      <c r="E75" s="172"/>
      <c r="F75" s="172"/>
      <c r="G75" s="173"/>
      <c r="H75" s="761"/>
      <c r="I75" s="183"/>
      <c r="J75" s="183"/>
      <c r="K75" s="162"/>
      <c r="L75" s="162"/>
      <c r="M75" s="162"/>
      <c r="N75" s="162"/>
      <c r="O75" s="162"/>
      <c r="P75" s="162"/>
    </row>
    <row r="76" spans="1:26" ht="19.5">
      <c r="A76" s="169"/>
      <c r="B76" s="170"/>
      <c r="C76" s="170"/>
      <c r="D76" s="175" t="s">
        <v>39</v>
      </c>
      <c r="E76" s="447"/>
      <c r="F76" s="177"/>
      <c r="G76" s="178"/>
      <c r="H76" s="179" t="s">
        <v>34</v>
      </c>
      <c r="I76" s="269">
        <f ca="1">I78+I80+I82</f>
        <v>1</v>
      </c>
      <c r="J76" s="269">
        <f>J78+J80+J82</f>
        <v>1</v>
      </c>
      <c r="K76" s="162">
        <f t="shared" ref="K76:K84" ca="1" si="24">IF(I76&gt;0,J76*100/I76,0)</f>
        <v>100</v>
      </c>
      <c r="L76" s="162"/>
      <c r="M76" s="162"/>
      <c r="N76" s="162"/>
      <c r="O76" s="162"/>
      <c r="P76" s="162"/>
    </row>
    <row r="77" spans="1:26" ht="19.5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30</v>
      </c>
      <c r="J77" s="269">
        <f>J79+J81+J83</f>
        <v>30</v>
      </c>
      <c r="K77" s="162">
        <f t="shared" ca="1" si="24"/>
        <v>100</v>
      </c>
      <c r="L77" s="162"/>
      <c r="M77" s="162"/>
      <c r="N77" s="162"/>
      <c r="O77" s="162"/>
      <c r="P77" s="162"/>
    </row>
    <row r="78" spans="1:26" ht="18.75">
      <c r="A78" s="169"/>
      <c r="B78" s="170"/>
      <c r="C78" s="170"/>
      <c r="D78" s="170"/>
      <c r="E78" s="447" t="s">
        <v>40</v>
      </c>
      <c r="F78" s="447"/>
      <c r="G78" s="178"/>
      <c r="H78" s="763" t="s">
        <v>34</v>
      </c>
      <c r="I78" s="183">
        <f ca="1">IFERROR(__xludf.DUMMYFUNCTION("IMPORTRANGE(""https://docs.google.com/spreadsheets/d/1QqKyyYR6Q21VydFLVH3TRQUabQu_ym0Zz7PgGX0-kHA/edit?usp=sharing"",""แผน!H76"")"),1)</f>
        <v>1</v>
      </c>
      <c r="J78" s="214">
        <v>1</v>
      </c>
      <c r="K78" s="162">
        <f t="shared" ca="1" si="24"/>
        <v>100</v>
      </c>
      <c r="L78" s="162"/>
      <c r="M78" s="162"/>
      <c r="N78" s="162"/>
      <c r="O78" s="162"/>
      <c r="P78" s="162"/>
    </row>
    <row r="79" spans="1:26" ht="18.75">
      <c r="A79" s="169"/>
      <c r="B79" s="170"/>
      <c r="C79" s="170"/>
      <c r="D79" s="170"/>
      <c r="E79" s="177"/>
      <c r="F79" s="177"/>
      <c r="G79" s="178"/>
      <c r="H79" s="763" t="s">
        <v>35</v>
      </c>
      <c r="I79" s="183">
        <f ca="1">IFERROR(__xludf.DUMMYFUNCTION("IMPORTRANGE(""https://docs.google.com/spreadsheets/d/1QqKyyYR6Q21VydFLVH3TRQUabQu_ym0Zz7PgGX0-kHA/edit?usp=sharing"",""แผน!I76"")"),30)</f>
        <v>30</v>
      </c>
      <c r="J79" s="214">
        <v>30</v>
      </c>
      <c r="K79" s="162">
        <f t="shared" ca="1" si="24"/>
        <v>100</v>
      </c>
      <c r="L79" s="162"/>
      <c r="M79" s="162"/>
      <c r="N79" s="162"/>
      <c r="O79" s="162"/>
      <c r="P79" s="162"/>
    </row>
    <row r="80" spans="1:26" ht="18.75">
      <c r="A80" s="169"/>
      <c r="B80" s="170"/>
      <c r="C80" s="170"/>
      <c r="D80" s="170"/>
      <c r="E80" s="447" t="s">
        <v>41</v>
      </c>
      <c r="F80" s="447"/>
      <c r="G80" s="178"/>
      <c r="H80" s="763" t="s">
        <v>34</v>
      </c>
      <c r="I80" s="183">
        <f ca="1">IFERROR(__xludf.DUMMYFUNCTION("IMPORTRANGE(""https://docs.google.com/spreadsheets/d/1QqKyyYR6Q21VydFLVH3TRQUabQu_ym0Zz7PgGX0-kHA/edit?usp=sharing"",""แผน!F76"")"),0)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>
      <c r="A81" s="169"/>
      <c r="B81" s="170"/>
      <c r="C81" s="170"/>
      <c r="D81" s="170"/>
      <c r="E81" s="177"/>
      <c r="F81" s="177"/>
      <c r="G81" s="178"/>
      <c r="H81" s="763" t="s">
        <v>35</v>
      </c>
      <c r="I81" s="183">
        <f ca="1">IFERROR(__xludf.DUMMYFUNCTION("IMPORTRANGE(""https://docs.google.com/spreadsheets/d/1QqKyyYR6Q21VydFLVH3TRQUabQu_ym0Zz7PgGX0-kHA/edit?usp=sharing"",""แผน!G76"")"),0)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>
      <c r="A82" s="169"/>
      <c r="B82" s="170"/>
      <c r="C82" s="170"/>
      <c r="D82" s="170"/>
      <c r="E82" s="447" t="s">
        <v>42</v>
      </c>
      <c r="F82" s="447"/>
      <c r="G82" s="178"/>
      <c r="H82" s="763" t="s">
        <v>34</v>
      </c>
      <c r="I82" s="183">
        <f ca="1">IFERROR(__xludf.DUMMYFUNCTION("IMPORTRANGE(""https://docs.google.com/spreadsheets/d/1QqKyyYR6Q21VydFLVH3TRQUabQu_ym0Zz7PgGX0-kHA/edit?usp=sharing"",""แผน!D76"")"),0)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>
      <c r="A83" s="169"/>
      <c r="B83" s="170"/>
      <c r="C83" s="170"/>
      <c r="D83" s="170"/>
      <c r="E83" s="177"/>
      <c r="F83" s="177"/>
      <c r="G83" s="178"/>
      <c r="H83" s="763" t="s">
        <v>35</v>
      </c>
      <c r="I83" s="183">
        <f ca="1">IFERROR(__xludf.DUMMYFUNCTION("IMPORTRANGE(""https://docs.google.com/spreadsheets/d/1QqKyyYR6Q21VydFLVH3TRQUabQu_ym0Zz7PgGX0-kHA/edit?usp=sharing"",""แผน!E76"")"),0)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>
      <c r="A84" s="169"/>
      <c r="B84" s="170"/>
      <c r="C84" s="170"/>
      <c r="D84" s="175" t="s">
        <v>43</v>
      </c>
      <c r="E84" s="447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IFERROR(__xludf.DUMMYFUNCTION("IMPORTRANGE(""https://docs.google.com/spreadsheets/d/1QqKyyYR6Q21VydFLVH3TRQUabQu_ym0Zz7PgGX0-kHA/edit?usp=sharing"",""แผน!J76"")"),1)</f>
        <v>1</v>
      </c>
      <c r="J84" s="214">
        <v>1</v>
      </c>
      <c r="K84" s="162">
        <f t="shared" ca="1" si="24"/>
        <v>100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0</v>
      </c>
      <c r="J86" s="143">
        <f>J98</f>
        <v>0</v>
      </c>
      <c r="K86" s="144">
        <f ca="1">IF(I86&gt;0,J86*100/I86,0)</f>
        <v>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0</v>
      </c>
      <c r="J87" s="143">
        <f>J99</f>
        <v>0</v>
      </c>
      <c r="K87" s="144">
        <f ca="1">IF(I87&gt;0,J87*100/I87,0)</f>
        <v>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46" t="s">
        <v>17</v>
      </c>
      <c r="E88" s="147"/>
      <c r="F88" s="147"/>
      <c r="G88" s="150"/>
      <c r="H88" s="151" t="s">
        <v>12</v>
      </c>
      <c r="I88" s="420"/>
      <c r="J88" s="420"/>
      <c r="K88" s="153"/>
      <c r="L88" s="154">
        <f ca="1">L89+L90</f>
        <v>31200</v>
      </c>
      <c r="M88" s="154">
        <f ca="1">M89+M90</f>
        <v>31200</v>
      </c>
      <c r="N88" s="154">
        <f ca="1">N89+N90</f>
        <v>31200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6"/>
      <c r="J89" s="616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6"/>
      <c r="J90" s="616"/>
      <c r="K90" s="92"/>
      <c r="L90" s="92">
        <f t="shared" ca="1" si="27"/>
        <v>31200</v>
      </c>
      <c r="M90" s="92">
        <f t="shared" ca="1" si="27"/>
        <v>31200</v>
      </c>
      <c r="N90" s="92">
        <f t="shared" ca="1" si="27"/>
        <v>31200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31200</v>
      </c>
      <c r="M91" s="497">
        <f ca="1">M92+M93</f>
        <v>31200</v>
      </c>
      <c r="N91" s="497">
        <f ca="1">N92+N93</f>
        <v>31200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IFERROR(__xludf.DUMMYFUNCTION("IMPORTRANGE(""https://docs.google.com/spreadsheets/d/1MeEWN-I1oV_STSDYn1IFDPWt_1FKiwhDph83XaGc0o0/edit?usp=sharing"",""งบพรบ!AQ76"")"),31200)</f>
        <v>31200</v>
      </c>
      <c r="M93" s="92">
        <f ca="1">IFERROR(__xludf.DUMMYFUNCTION("IMPORTRANGE(""https://docs.google.com/spreadsheets/d/1MeEWN-I1oV_STSDYn1IFDPWt_1FKiwhDph83XaGc0o0/edit?usp=sharing"",""งบพรบ!AV76"")"),31200)</f>
        <v>31200</v>
      </c>
      <c r="N93" s="92">
        <f ca="1">IFERROR(__xludf.DUMMYFUNCTION("IMPORTRANGE(""https://docs.google.com/spreadsheets/d/1MeEWN-I1oV_STSDYn1IFDPWt_1FKiwhDph83XaGc0o0/edit?usp=sharing"",""งบพรบ!AX76"")"),31200)</f>
        <v>31200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IFERROR(__xludf.DUMMYFUNCTION("IMPORTRANGE(""https://docs.google.com/spreadsheets/d/1MeEWN-I1oV_STSDYn1IFDPWt_1FKiwhDph83XaGc0o0/edit?usp=sharing"",""งบพรบ!AT76"")"),0)</f>
        <v>0</v>
      </c>
      <c r="M96" s="92">
        <f ca="1">IFERROR(__xludf.DUMMYFUNCTION("IMPORTRANGE(""https://docs.google.com/spreadsheets/d/1MeEWN-I1oV_STSDYn1IFDPWt_1FKiwhDph83XaGc0o0/edit?usp=sharing"",""งบพรบ!AW76"")"),0)</f>
        <v>0</v>
      </c>
      <c r="N96" s="92">
        <f ca="1">IFERROR(__xludf.DUMMYFUNCTION("IMPORTRANGE(""https://docs.google.com/spreadsheets/d/1MeEWN-I1oV_STSDYn1IFDPWt_1FKiwhDph83XaGc0o0/edit?usp=sharing"",""งบพรบ!AY76"")"),0)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47" t="s">
        <v>38</v>
      </c>
      <c r="E97" s="172"/>
      <c r="F97" s="172"/>
      <c r="G97" s="173"/>
      <c r="H97" s="761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7" t="s">
        <v>47</v>
      </c>
      <c r="E98" s="447"/>
      <c r="F98" s="177"/>
      <c r="G98" s="178"/>
      <c r="H98" s="622" t="s">
        <v>46</v>
      </c>
      <c r="I98" s="269">
        <f ca="1">IFERROR(__xludf.DUMMYFUNCTION("IMPORTRANGE(""https://docs.google.com/spreadsheets/d/1QqKyyYR6Q21VydFLVH3TRQUabQu_ym0Zz7PgGX0-kHA/edit?usp=sharing"",""แผน!K76"")"),0)</f>
        <v>0</v>
      </c>
      <c r="J98" s="269">
        <f>J102</f>
        <v>0</v>
      </c>
      <c r="K98" s="497">
        <f ca="1">IF(I98&gt;0,J98*100/I98,0)</f>
        <v>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7" t="s">
        <v>48</v>
      </c>
      <c r="E99" s="447"/>
      <c r="F99" s="177"/>
      <c r="G99" s="178"/>
      <c r="H99" s="622" t="s">
        <v>35</v>
      </c>
      <c r="I99" s="269">
        <f ca="1">IFERROR(__xludf.DUMMYFUNCTION("IMPORTRANGE(""https://docs.google.com/spreadsheets/d/1QqKyyYR6Q21VydFLVH3TRQUabQu_ym0Zz7PgGX0-kHA/edit?usp=sharing"",""แผน!L76"")"),0)</f>
        <v>0</v>
      </c>
      <c r="J99" s="269">
        <f>J104</f>
        <v>0</v>
      </c>
      <c r="K99" s="497">
        <f ca="1">IF(I99&gt;0,J99*100/I99,0)</f>
        <v>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22" t="s">
        <v>49</v>
      </c>
      <c r="I100" s="269">
        <f ca="1">IFERROR(__xludf.DUMMYFUNCTION("IMPORTRANGE(""https://docs.google.com/spreadsheets/d/1QqKyyYR6Q21VydFLVH3TRQUabQu_ym0Zz7PgGX0-kHA/edit?usp=sharing"",""แผน!M76"")"),1)</f>
        <v>1</v>
      </c>
      <c r="J100" s="269">
        <f>J107+J110</f>
        <v>1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22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5" t="s">
        <v>47</v>
      </c>
      <c r="F102" s="177"/>
      <c r="G102" s="178"/>
      <c r="H102" s="622" t="s">
        <v>46</v>
      </c>
      <c r="I102" s="269">
        <f ca="1">IFERROR(__xludf.DUMMYFUNCTION("IMPORTRANGE(""https://docs.google.com/spreadsheets/d/1QqKyyYR6Q21VydFLVH3TRQUabQu_ym0Zz7PgGX0-kHA/edit?usp=sharing"",""แผน!N76"")"),0)</f>
        <v>0</v>
      </c>
      <c r="J102" s="214">
        <v>0</v>
      </c>
      <c r="K102" s="497">
        <f ca="1">IF(I102&gt;0,J102*100/I102,0)</f>
        <v>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7" t="s">
        <v>51</v>
      </c>
      <c r="F103" s="177"/>
      <c r="G103" s="178"/>
      <c r="H103" s="622" t="s">
        <v>35</v>
      </c>
      <c r="I103" s="269">
        <f ca="1">IFERROR(__xludf.DUMMYFUNCTION("IMPORTRANGE(""https://docs.google.com/spreadsheets/d/1QqKyyYR6Q21VydFLVH3TRQUabQu_ym0Zz7PgGX0-kHA/edit?usp=sharing"",""แผน!O76"")"),0)</f>
        <v>0</v>
      </c>
      <c r="J103" s="214">
        <v>0</v>
      </c>
      <c r="K103" s="497">
        <f ca="1">IF(I103&gt;0,J103*100/I103,0)</f>
        <v>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22" t="s">
        <v>35</v>
      </c>
      <c r="I104" s="269">
        <f ca="1">IFERROR(__xludf.DUMMYFUNCTION("IMPORTRANGE(""https://docs.google.com/spreadsheets/d/1QqKyyYR6Q21VydFLVH3TRQUabQu_ym0Zz7PgGX0-kHA/edit?usp=sharing"",""แผน!O76"")"),0)</f>
        <v>0</v>
      </c>
      <c r="J104" s="214">
        <v>0</v>
      </c>
      <c r="K104" s="497">
        <f ca="1">IF(I104&gt;0,J104*100/I104,0)</f>
        <v>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7" t="s">
        <v>54</v>
      </c>
      <c r="F106" s="177"/>
      <c r="G106" s="178"/>
      <c r="H106" s="622" t="s">
        <v>49</v>
      </c>
      <c r="I106" s="269">
        <f ca="1">IFERROR(__xludf.DUMMYFUNCTION("IMPORTRANGE(""https://docs.google.com/spreadsheets/d/1QqKyyYR6Q21VydFLVH3TRQUabQu_ym0Zz7PgGX0-kHA/edit?usp=sharing"",""แผน!P76"")"),1)</f>
        <v>1</v>
      </c>
      <c r="J106" s="21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22" t="s">
        <v>49</v>
      </c>
      <c r="I107" s="269">
        <f ca="1">IFERROR(__xludf.DUMMYFUNCTION("IMPORTRANGE(""https://docs.google.com/spreadsheets/d/1QqKyyYR6Q21VydFLVH3TRQUabQu_ym0Zz7PgGX0-kHA/edit?usp=sharing"",""แผน!P76"")"),1)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7" t="s">
        <v>57</v>
      </c>
      <c r="F109" s="177"/>
      <c r="G109" s="178"/>
      <c r="H109" s="622" t="s">
        <v>49</v>
      </c>
      <c r="I109" s="269">
        <f ca="1">IFERROR(__xludf.DUMMYFUNCTION("IMPORTRANGE(""https://docs.google.com/spreadsheets/d/1QqKyyYR6Q21VydFLVH3TRQUabQu_ym0Zz7PgGX0-kHA/edit?usp=sharing"",""แผน!Q76"")"),0)</f>
        <v>0</v>
      </c>
      <c r="J109" s="214">
        <v>0</v>
      </c>
      <c r="K109" s="497">
        <f t="shared" ref="K109:K116" ca="1" si="28">IF(I109&gt;0,J109*100/I109,0)</f>
        <v>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22" t="s">
        <v>49</v>
      </c>
      <c r="I110" s="269">
        <f ca="1">IFERROR(__xludf.DUMMYFUNCTION("IMPORTRANGE(""https://docs.google.com/spreadsheets/d/1QqKyyYR6Q21VydFLVH3TRQUabQu_ym0Zz7PgGX0-kHA/edit?usp=sharing"",""แผน!Q76"")"),0)</f>
        <v>0</v>
      </c>
      <c r="J110" s="214">
        <v>0</v>
      </c>
      <c r="K110" s="497">
        <f t="shared" ca="1" si="28"/>
        <v>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6" t="s">
        <v>35</v>
      </c>
      <c r="I111" s="192">
        <f ca="1">IFERROR(__xludf.DUMMYFUNCTION("IMPORTRANGE(""https://docs.google.com/spreadsheets/d/1QqKyyYR6Q21VydFLVH3TRQUabQu_ym0Zz7PgGX0-kHA/edit?usp=sharing"",""แผน!R76"")"),0)</f>
        <v>0</v>
      </c>
      <c r="J111" s="680">
        <f>J114</f>
        <v>0</v>
      </c>
      <c r="K111" s="194">
        <f t="shared" ca="1" si="28"/>
        <v>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1</v>
      </c>
      <c r="J112" s="680">
        <f>J115+J116</f>
        <v>1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31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IFERROR(__xludf.DUMMYFUNCTION("IMPORTRANGE(""https://docs.google.com/spreadsheets/d/1QqKyyYR6Q21VydFLVH3TRQUabQu_ym0Zz7PgGX0-kHA/edit?usp=sharing"",""แผน!R76"")"),0)</f>
        <v>0</v>
      </c>
      <c r="J113" s="214">
        <v>0</v>
      </c>
      <c r="K113" s="497">
        <f t="shared" ca="1" si="28"/>
        <v>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7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IFERROR(__xludf.DUMMYFUNCTION("IMPORTRANGE(""https://docs.google.com/spreadsheets/d/1QqKyyYR6Q21VydFLVH3TRQUabQu_ym0Zz7PgGX0-kHA/edit?usp=sharing"",""แผน!R76"")"),0)</f>
        <v>0</v>
      </c>
      <c r="J114" s="214">
        <v>0</v>
      </c>
      <c r="K114" s="497">
        <f t="shared" ca="1" si="28"/>
        <v>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7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IFERROR(__xludf.DUMMYFUNCTION("IMPORTRANGE(""https://docs.google.com/spreadsheets/d/1QqKyyYR6Q21VydFLVH3TRQUabQu_ym0Zz7PgGX0-kHA/edit?usp=sharing"",""แผน!S76"")"),1)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7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IFERROR(__xludf.DUMMYFUNCTION("IMPORTRANGE(""https://docs.google.com/spreadsheets/d/1QqKyyYR6Q21VydFLVH3TRQUabQu_ym0Zz7PgGX0-kHA/edit?usp=sharing"",""แผน!T76"")"),0)</f>
        <v>0</v>
      </c>
      <c r="J116" s="214">
        <v>0</v>
      </c>
      <c r="K116" s="497">
        <f t="shared" ca="1" si="28"/>
        <v>0</v>
      </c>
      <c r="L116" s="497"/>
      <c r="M116" s="497"/>
      <c r="N116" s="497"/>
      <c r="O116" s="162"/>
      <c r="P116" s="162"/>
    </row>
    <row r="117" spans="1:26" ht="19.5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>
      <c r="A118" s="137"/>
      <c r="B118" s="208" t="s">
        <v>65</v>
      </c>
      <c r="C118" s="203"/>
      <c r="D118" s="140"/>
      <c r="E118" s="139"/>
      <c r="F118" s="139"/>
      <c r="G118" s="141"/>
      <c r="H118" s="204" t="s">
        <v>66</v>
      </c>
      <c r="I118" s="207">
        <v>0</v>
      </c>
      <c r="J118" s="207">
        <v>0</v>
      </c>
      <c r="K118" s="145">
        <f>IF(I118&gt;0,J118*100/I118,0)</f>
        <v>0</v>
      </c>
      <c r="L118" s="145"/>
      <c r="M118" s="145"/>
      <c r="N118" s="145"/>
      <c r="O118" s="145"/>
      <c r="P118" s="145"/>
    </row>
    <row r="119" spans="1:26" ht="19.5">
      <c r="A119" s="146"/>
      <c r="B119" s="147"/>
      <c r="C119" s="148" t="s">
        <v>16</v>
      </c>
      <c r="D119" s="846" t="s">
        <v>17</v>
      </c>
      <c r="E119" s="147"/>
      <c r="F119" s="147"/>
      <c r="G119" s="150"/>
      <c r="H119" s="151" t="s">
        <v>12</v>
      </c>
      <c r="I119" s="420"/>
      <c r="J119" s="420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6"/>
      <c r="J120" s="616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6"/>
      <c r="J121" s="616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IFERROR(__xludf.DUMMYFUNCTION("IMPORTRANGE(""https://docs.google.com/spreadsheets/d/1MeEWN-I1oV_STSDYn1IFDPWt_1FKiwhDph83XaGc0o0/edit?usp=sharing"",""งบพรบ!BA76"")"),0)</f>
        <v>0</v>
      </c>
      <c r="M124" s="92">
        <f ca="1">IFERROR(__xludf.DUMMYFUNCTION("IMPORTRANGE(""https://docs.google.com/spreadsheets/d/1MeEWN-I1oV_STSDYn1IFDPWt_1FKiwhDph83XaGc0o0/edit?usp=sharing"",""งบพรบ!BF76"")"),0)</f>
        <v>0</v>
      </c>
      <c r="N124" s="92">
        <f ca="1">IFERROR(__xludf.DUMMYFUNCTION("IMPORTRANGE(""https://docs.google.com/spreadsheets/d/1MeEWN-I1oV_STSDYn1IFDPWt_1FKiwhDph83XaGc0o0/edit?usp=sharing"",""งบพรบ!BH76"")"),0)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IFERROR(__xludf.DUMMYFUNCTION("IMPORTRANGE(""https://docs.google.com/spreadsheets/d/1MeEWN-I1oV_STSDYn1IFDPWt_1FKiwhDph83XaGc0o0/edit?usp=sharing"",""งบพรบ!BD76"")"),0)</f>
        <v>0</v>
      </c>
      <c r="M127" s="92">
        <f ca="1">IFERROR(__xludf.DUMMYFUNCTION("IMPORTRANGE(""https://docs.google.com/spreadsheets/d/1MeEWN-I1oV_STSDYn1IFDPWt_1FKiwhDph83XaGc0o0/edit?usp=sharing"",""งบพรบ!BG76"")"),0)</f>
        <v>0</v>
      </c>
      <c r="N127" s="92">
        <f ca="1">IFERROR(__xludf.DUMMYFUNCTION("IMPORTRANGE(""https://docs.google.com/spreadsheets/d/1MeEWN-I1oV_STSDYn1IFDPWt_1FKiwhDph83XaGc0o0/edit?usp=sharing"",""งบพรบ!BI76"")"),0)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1</v>
      </c>
      <c r="J130" s="143">
        <f>J146</f>
        <v>1</v>
      </c>
      <c r="K130" s="144">
        <f ca="1">IF(I130&gt;0,J130*100/I130,0)</f>
        <v>100</v>
      </c>
      <c r="L130" s="145"/>
      <c r="M130" s="145"/>
      <c r="N130" s="145"/>
      <c r="O130" s="145"/>
      <c r="P130" s="145"/>
    </row>
    <row r="131" spans="1:26" ht="19.5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10</v>
      </c>
      <c r="J131" s="143">
        <f ca="1">J143</f>
        <v>10</v>
      </c>
      <c r="K131" s="144">
        <f ca="1">IF(I131&gt;0,J131*100/I131,0)</f>
        <v>100</v>
      </c>
      <c r="L131" s="145"/>
      <c r="M131" s="145"/>
      <c r="N131" s="145"/>
      <c r="O131" s="145"/>
      <c r="P131" s="145"/>
    </row>
    <row r="132" spans="1:26" ht="19.5">
      <c r="A132" s="146"/>
      <c r="B132" s="147"/>
      <c r="C132" s="148" t="s">
        <v>16</v>
      </c>
      <c r="D132" s="846" t="s">
        <v>17</v>
      </c>
      <c r="E132" s="147"/>
      <c r="F132" s="147"/>
      <c r="G132" s="150"/>
      <c r="H132" s="151" t="s">
        <v>12</v>
      </c>
      <c r="I132" s="420"/>
      <c r="J132" s="420"/>
      <c r="K132" s="153"/>
      <c r="L132" s="154">
        <f ca="1">L133+L134</f>
        <v>151655</v>
      </c>
      <c r="M132" s="154">
        <f ca="1">M133+M134</f>
        <v>151655</v>
      </c>
      <c r="N132" s="154">
        <f ca="1">N133+N134</f>
        <v>151655</v>
      </c>
      <c r="O132" s="154">
        <f t="shared" ref="O132:O140" ca="1" si="32">IF(L132&gt;0,N132*100/L132,0)</f>
        <v>100</v>
      </c>
      <c r="P132" s="154">
        <f t="shared" ref="P132:P140" ca="1" si="33">IF(M132&gt;0,N132*100/M132,0)</f>
        <v>100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6"/>
      <c r="J133" s="616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6"/>
      <c r="J134" s="616"/>
      <c r="K134" s="92"/>
      <c r="L134" s="92">
        <f t="shared" ca="1" si="34"/>
        <v>151655</v>
      </c>
      <c r="M134" s="92">
        <f t="shared" ca="1" si="34"/>
        <v>151655</v>
      </c>
      <c r="N134" s="92">
        <f t="shared" ca="1" si="34"/>
        <v>151655</v>
      </c>
      <c r="O134" s="92">
        <f t="shared" ca="1" si="32"/>
        <v>100</v>
      </c>
      <c r="P134" s="92">
        <f t="shared" ca="1" si="33"/>
        <v>100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48655</v>
      </c>
      <c r="M135" s="497">
        <f ca="1">M136+M137</f>
        <v>48655</v>
      </c>
      <c r="N135" s="497">
        <f ca="1">N136+N137</f>
        <v>48655</v>
      </c>
      <c r="O135" s="497">
        <f t="shared" ca="1" si="32"/>
        <v>100</v>
      </c>
      <c r="P135" s="497">
        <f t="shared" ca="1" si="33"/>
        <v>100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IFERROR(__xludf.DUMMYFUNCTION("IMPORTRANGE(""https://docs.google.com/spreadsheets/d/1MeEWN-I1oV_STSDYn1IFDPWt_1FKiwhDph83XaGc0o0/edit?usp=sharing"",""งบพรบ!BK76"")"),48655)</f>
        <v>48655</v>
      </c>
      <c r="M137" s="92">
        <f ca="1">IFERROR(__xludf.DUMMYFUNCTION("IMPORTRANGE(""https://docs.google.com/spreadsheets/d/1MeEWN-I1oV_STSDYn1IFDPWt_1FKiwhDph83XaGc0o0/edit?usp=sharing"",""งบพรบ!BP76"")"),48655)</f>
        <v>48655</v>
      </c>
      <c r="N137" s="92">
        <f ca="1">IFERROR(__xludf.DUMMYFUNCTION("IMPORTRANGE(""https://docs.google.com/spreadsheets/d/1MeEWN-I1oV_STSDYn1IFDPWt_1FKiwhDph83XaGc0o0/edit?usp=sharing"",""งบพรบ!BR76"")"),48655)</f>
        <v>48655</v>
      </c>
      <c r="O137" s="92">
        <f t="shared" ca="1" si="32"/>
        <v>100</v>
      </c>
      <c r="P137" s="92">
        <f t="shared" ca="1" si="33"/>
        <v>100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103000</v>
      </c>
      <c r="M138" s="497">
        <f ca="1">M139+M140</f>
        <v>103000</v>
      </c>
      <c r="N138" s="497">
        <f ca="1">N139+N140</f>
        <v>103000</v>
      </c>
      <c r="O138" s="497">
        <f t="shared" ca="1" si="32"/>
        <v>100</v>
      </c>
      <c r="P138" s="497">
        <f t="shared" ca="1" si="33"/>
        <v>100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IFERROR(__xludf.DUMMYFUNCTION("IMPORTRANGE(""https://docs.google.com/spreadsheets/d/1MeEWN-I1oV_STSDYn1IFDPWt_1FKiwhDph83XaGc0o0/edit?usp=sharing"",""งบพรบ!BN76"")"),103000)</f>
        <v>103000</v>
      </c>
      <c r="M140" s="92">
        <f ca="1">IFERROR(__xludf.DUMMYFUNCTION("IMPORTRANGE(""https://docs.google.com/spreadsheets/d/1MeEWN-I1oV_STSDYn1IFDPWt_1FKiwhDph83XaGc0o0/edit?usp=sharing"",""งบพรบ!BQ76"")"),103000)</f>
        <v>103000</v>
      </c>
      <c r="N140" s="92">
        <f ca="1">IFERROR(__xludf.DUMMYFUNCTION("IMPORTRANGE(""https://docs.google.com/spreadsheets/d/1MeEWN-I1oV_STSDYn1IFDPWt_1FKiwhDph83XaGc0o0/edit?usp=sharing"",""งบพรบ!BS76"")"),103000)</f>
        <v>103000</v>
      </c>
      <c r="O140" s="92">
        <f t="shared" ca="1" si="32"/>
        <v>100</v>
      </c>
      <c r="P140" s="92">
        <f t="shared" ca="1" si="33"/>
        <v>100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>
      <c r="A141" s="169"/>
      <c r="B141" s="170"/>
      <c r="C141" s="148" t="s">
        <v>16</v>
      </c>
      <c r="D141" s="84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10</v>
      </c>
      <c r="J143" s="269">
        <f ca="1">IF(AND(J144&gt;=I144,J145&gt;=I145),J145,0)</f>
        <v>10</v>
      </c>
      <c r="K143" s="497">
        <f ca="1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IFERROR(__xludf.DUMMYFUNCTION("IMPORTRANGE(""https://docs.google.com/spreadsheets/d/1QqKyyYR6Q21VydFLVH3TRQUabQu_ym0Zz7PgGX0-kHA/edit?usp=sharing"",""แผน!U76"")"),5)</f>
        <v>5</v>
      </c>
      <c r="J144" s="214">
        <v>5</v>
      </c>
      <c r="K144" s="497">
        <f ca="1">IF(I144&gt;0,J144*100/I144,0)</f>
        <v>100</v>
      </c>
      <c r="L144" s="497"/>
      <c r="M144" s="497"/>
      <c r="N144" s="497"/>
      <c r="O144" s="497"/>
      <c r="P144" s="497"/>
    </row>
    <row r="145" spans="1:26" ht="19.5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IFERROR(__xludf.DUMMYFUNCTION("IMPORTRANGE(""https://docs.google.com/spreadsheets/d/1QqKyyYR6Q21VydFLVH3TRQUabQu_ym0Zz7PgGX0-kHA/edit?usp=sharing"",""แผน!V76"")"),10)</f>
        <v>10</v>
      </c>
      <c r="J145" s="214">
        <v>10</v>
      </c>
      <c r="K145" s="497">
        <f ca="1">IF(I145&gt;0,J145*100/I145,0)</f>
        <v>100</v>
      </c>
      <c r="L145" s="497"/>
      <c r="M145" s="497"/>
      <c r="N145" s="497"/>
      <c r="O145" s="497"/>
      <c r="P145" s="497"/>
    </row>
    <row r="146" spans="1:26" ht="19.5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IFERROR(__xludf.DUMMYFUNCTION("IMPORTRANGE(""https://docs.google.com/spreadsheets/d/1QqKyyYR6Q21VydFLVH3TRQUabQu_ym0Zz7PgGX0-kHA/edit?usp=sharing"",""แผน!W76"")"),1)</f>
        <v>1</v>
      </c>
      <c r="J146" s="214">
        <v>1</v>
      </c>
      <c r="K146" s="497">
        <f ca="1">IF(I146&gt;0,J146*100/I146,0)</f>
        <v>100</v>
      </c>
      <c r="L146" s="497"/>
      <c r="M146" s="497"/>
      <c r="N146" s="497"/>
      <c r="O146" s="497"/>
      <c r="P146" s="497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59"/>
      <c r="F148" s="218"/>
      <c r="G148" s="219"/>
      <c r="H148" s="220" t="s">
        <v>35</v>
      </c>
      <c r="I148" s="143">
        <f ca="1">I159</f>
        <v>20</v>
      </c>
      <c r="J148" s="143">
        <f>J159</f>
        <v>20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46" t="s">
        <v>17</v>
      </c>
      <c r="E149" s="147"/>
      <c r="F149" s="147"/>
      <c r="G149" s="150"/>
      <c r="H149" s="151" t="s">
        <v>12</v>
      </c>
      <c r="I149" s="420"/>
      <c r="J149" s="420"/>
      <c r="K149" s="153"/>
      <c r="L149" s="154">
        <f ca="1">L150+L151</f>
        <v>10000</v>
      </c>
      <c r="M149" s="154">
        <f ca="1">M150+M151</f>
        <v>27920</v>
      </c>
      <c r="N149" s="154">
        <f ca="1">N150+N151</f>
        <v>27920</v>
      </c>
      <c r="O149" s="154">
        <f t="shared" ref="O149:O157" ca="1" si="35">IF(L149&gt;0,N149*100/L149,0)</f>
        <v>279.2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6"/>
      <c r="J150" s="616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6"/>
      <c r="J151" s="616"/>
      <c r="K151" s="92"/>
      <c r="L151" s="92">
        <f t="shared" ca="1" si="37"/>
        <v>10000</v>
      </c>
      <c r="M151" s="92">
        <f t="shared" ca="1" si="37"/>
        <v>27920</v>
      </c>
      <c r="N151" s="92">
        <f t="shared" ca="1" si="37"/>
        <v>27920</v>
      </c>
      <c r="O151" s="92">
        <f t="shared" ca="1" si="35"/>
        <v>279.2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10000</v>
      </c>
      <c r="M152" s="497">
        <f ca="1">M153+M154</f>
        <v>27920</v>
      </c>
      <c r="N152" s="497">
        <f ca="1">N153+N154</f>
        <v>27920</v>
      </c>
      <c r="O152" s="497">
        <f t="shared" ca="1" si="35"/>
        <v>279.2</v>
      </c>
      <c r="P152" s="497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IFERROR(__xludf.DUMMYFUNCTION("IMPORTRANGE(""https://docs.google.com/spreadsheets/d/1MeEWN-I1oV_STSDYn1IFDPWt_1FKiwhDph83XaGc0o0/edit?usp=sharing"",""งบพรบ!BU76"")"),10000)</f>
        <v>10000</v>
      </c>
      <c r="M154" s="92">
        <f ca="1">IFERROR(__xludf.DUMMYFUNCTION("IMPORTRANGE(""https://docs.google.com/spreadsheets/d/1MeEWN-I1oV_STSDYn1IFDPWt_1FKiwhDph83XaGc0o0/edit?usp=sharing"",""งบพรบ!BZ76"")"),27920)</f>
        <v>27920</v>
      </c>
      <c r="N154" s="92">
        <f ca="1">IFERROR(__xludf.DUMMYFUNCTION("IMPORTRANGE(""https://docs.google.com/spreadsheets/d/1MeEWN-I1oV_STSDYn1IFDPWt_1FKiwhDph83XaGc0o0/edit?usp=sharing"",""งบพรบ!CB76"")"),27920)</f>
        <v>27920</v>
      </c>
      <c r="O154" s="92">
        <f t="shared" ca="1" si="35"/>
        <v>279.2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IFERROR(__xludf.DUMMYFUNCTION("IMPORTRANGE(""https://docs.google.com/spreadsheets/d/1MeEWN-I1oV_STSDYn1IFDPWt_1FKiwhDph83XaGc0o0/edit?usp=sharing"",""งบพรบ!BX76"")"),0)</f>
        <v>0</v>
      </c>
      <c r="M157" s="92">
        <f ca="1">IFERROR(__xludf.DUMMYFUNCTION("IMPORTRANGE(""https://docs.google.com/spreadsheets/d/1MeEWN-I1oV_STSDYn1IFDPWt_1FKiwhDph83XaGc0o0/edit?usp=sharing"",""งบพรบ!CA76"")"),0)</f>
        <v>0</v>
      </c>
      <c r="N157" s="92">
        <f ca="1">IFERROR(__xludf.DUMMYFUNCTION("IMPORTRANGE(""https://docs.google.com/spreadsheets/d/1MeEWN-I1oV_STSDYn1IFDPWt_1FKiwhDph83XaGc0o0/edit?usp=sharing"",""งบพรบ!CC76"")"),0)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9"/>
      <c r="B158" s="170"/>
      <c r="C158" s="163" t="s">
        <v>16</v>
      </c>
      <c r="D158" s="84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IFERROR(__xludf.DUMMYFUNCTION("IMPORTRANGE(""https://docs.google.com/spreadsheets/d/1QqKyyYR6Q21VydFLVH3TRQUabQu_ym0Zz7PgGX0-kHA/edit?usp=sharing"",""แผน!X76"")"),20)</f>
        <v>20</v>
      </c>
      <c r="J159" s="214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6"/>
      <c r="J160" s="616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58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 hidden="1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857">
        <f ca="1">I174+I177</f>
        <v>0</v>
      </c>
      <c r="J164" s="857">
        <f>J174+J177</f>
        <v>0</v>
      </c>
      <c r="K164" s="254">
        <f ca="1">IF(I164&gt;0,J164*100/I164,0)</f>
        <v>0</v>
      </c>
      <c r="L164" s="254"/>
      <c r="M164" s="254"/>
      <c r="N164" s="254"/>
      <c r="O164" s="254"/>
      <c r="P164" s="254"/>
    </row>
    <row r="165" spans="1:26" ht="19.5" hidden="1">
      <c r="A165" s="146"/>
      <c r="B165" s="147"/>
      <c r="C165" s="148" t="s">
        <v>16</v>
      </c>
      <c r="D165" s="846" t="s">
        <v>17</v>
      </c>
      <c r="E165" s="147"/>
      <c r="F165" s="147"/>
      <c r="G165" s="150"/>
      <c r="H165" s="151" t="s">
        <v>12</v>
      </c>
      <c r="I165" s="420"/>
      <c r="J165" s="420"/>
      <c r="K165" s="153"/>
      <c r="L165" s="153">
        <f ca="1">L166+L167</f>
        <v>0</v>
      </c>
      <c r="M165" s="153">
        <f ca="1">M166+M167</f>
        <v>26000</v>
      </c>
      <c r="N165" s="153">
        <f ca="1">N166+N167</f>
        <v>26000</v>
      </c>
      <c r="O165" s="153">
        <f t="shared" ref="O165:O173" ca="1" si="38">IF(L165&gt;0,N165*100/L165,0)</f>
        <v>0</v>
      </c>
      <c r="P165" s="153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6"/>
      <c r="J166" s="616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6"/>
      <c r="J167" s="616"/>
      <c r="K167" s="92"/>
      <c r="L167" s="92">
        <f t="shared" ca="1" si="40"/>
        <v>0</v>
      </c>
      <c r="M167" s="92">
        <f t="shared" ca="1" si="40"/>
        <v>26000</v>
      </c>
      <c r="N167" s="92">
        <f t="shared" ca="1" si="40"/>
        <v>26000</v>
      </c>
      <c r="O167" s="92">
        <f t="shared" ca="1" si="38"/>
        <v>0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 hidden="1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0</v>
      </c>
      <c r="M168" s="497">
        <f ca="1">M169+M170</f>
        <v>26000</v>
      </c>
      <c r="N168" s="497">
        <f ca="1">N169+N170</f>
        <v>26000</v>
      </c>
      <c r="O168" s="497">
        <f t="shared" ca="1" si="38"/>
        <v>0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IFERROR(__xludf.DUMMYFUNCTION("IMPORTRANGE(""https://docs.google.com/spreadsheets/d/1MeEWN-I1oV_STSDYn1IFDPWt_1FKiwhDph83XaGc0o0/edit?usp=sharing"",""งบพรบ!CE76"")"),0)</f>
        <v>0</v>
      </c>
      <c r="M170" s="92">
        <f ca="1">IFERROR(__xludf.DUMMYFUNCTION("IMPORTRANGE(""https://docs.google.com/spreadsheets/d/1MeEWN-I1oV_STSDYn1IFDPWt_1FKiwhDph83XaGc0o0/edit?usp=sharing"",""งบพรบ!CJ76"")"),26000)</f>
        <v>26000</v>
      </c>
      <c r="N170" s="92">
        <f ca="1">IFERROR(__xludf.DUMMYFUNCTION("IMPORTRANGE(""https://docs.google.com/spreadsheets/d/1MeEWN-I1oV_STSDYn1IFDPWt_1FKiwhDph83XaGc0o0/edit?usp=sharing"",""งบพรบ!CL76"")"),26000)</f>
        <v>26000</v>
      </c>
      <c r="O170" s="92">
        <f t="shared" ca="1" si="38"/>
        <v>0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 hidden="1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IFERROR(__xludf.DUMMYFUNCTION("IMPORTRANGE(""https://docs.google.com/spreadsheets/d/1MeEWN-I1oV_STSDYn1IFDPWt_1FKiwhDph83XaGc0o0/edit?usp=sharing"",""งบพรบ!CH76"")"),0)</f>
        <v>0</v>
      </c>
      <c r="M173" s="92">
        <f ca="1">IFERROR(__xludf.DUMMYFUNCTION("IMPORTRANGE(""https://docs.google.com/spreadsheets/d/1MeEWN-I1oV_STSDYn1IFDPWt_1FKiwhDph83XaGc0o0/edit?usp=sharing"",""งบพรบ!CK76"")"),0)</f>
        <v>0</v>
      </c>
      <c r="N173" s="92">
        <f ca="1">IFERROR(__xludf.DUMMYFUNCTION("IMPORTRANGE(""https://docs.google.com/spreadsheets/d/1MeEWN-I1oV_STSDYn1IFDPWt_1FKiwhDph83XaGc0o0/edit?usp=sharing"",""งบพรบ!CM76"")"),0)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 hidden="1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0</v>
      </c>
      <c r="J174" s="260">
        <f>J176</f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 hidden="1">
      <c r="A175" s="169"/>
      <c r="B175" s="170"/>
      <c r="C175" s="163" t="s">
        <v>16</v>
      </c>
      <c r="D175" s="847" t="s">
        <v>38</v>
      </c>
      <c r="E175" s="172"/>
      <c r="F175" s="172"/>
      <c r="G175" s="173"/>
      <c r="H175" s="761"/>
      <c r="I175" s="183"/>
      <c r="J175" s="183"/>
      <c r="K175" s="162"/>
      <c r="L175" s="162"/>
      <c r="M175" s="162"/>
      <c r="N175" s="162"/>
      <c r="O175" s="162"/>
      <c r="P175" s="162"/>
    </row>
    <row r="176" spans="1:26" ht="18.75" hidden="1">
      <c r="A176" s="169"/>
      <c r="B176" s="170"/>
      <c r="C176" s="170"/>
      <c r="D176" s="745" t="s">
        <v>85</v>
      </c>
      <c r="E176" s="177"/>
      <c r="F176" s="177"/>
      <c r="G176" s="178"/>
      <c r="H176" s="622" t="s">
        <v>35</v>
      </c>
      <c r="I176" s="269">
        <f ca="1">IFERROR(__xludf.DUMMYFUNCTION("IMPORTRANGE(""https://docs.google.com/spreadsheets/d/1QqKyyYR6Q21VydFLVH3TRQUabQu_ym0Zz7PgGX0-kHA/edit?usp=sharing"",""แผน!Y76"")"),0)</f>
        <v>0</v>
      </c>
      <c r="J176" s="214">
        <v>0</v>
      </c>
      <c r="K176" s="162">
        <f ca="1">IF(I176&gt;0,J176*100/I176,0)</f>
        <v>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61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10</v>
      </c>
      <c r="J180" s="252">
        <f>J225+J226</f>
        <v>10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46" t="s">
        <v>17</v>
      </c>
      <c r="E181" s="147"/>
      <c r="F181" s="147"/>
      <c r="G181" s="150"/>
      <c r="H181" s="151" t="s">
        <v>12</v>
      </c>
      <c r="I181" s="420"/>
      <c r="J181" s="420"/>
      <c r="K181" s="153"/>
      <c r="L181" s="154">
        <f ca="1">L182+L183</f>
        <v>64000</v>
      </c>
      <c r="M181" s="154">
        <f ca="1">M182+M183</f>
        <v>91830</v>
      </c>
      <c r="N181" s="154">
        <f ca="1">N182+N183</f>
        <v>91830</v>
      </c>
      <c r="O181" s="154">
        <f t="shared" ref="O181:O189" ca="1" si="41">IF(L181&gt;0,N181*100/L181,0)</f>
        <v>143.484375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6"/>
      <c r="J182" s="616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6"/>
      <c r="J183" s="616"/>
      <c r="K183" s="92"/>
      <c r="L183" s="92">
        <f t="shared" ca="1" si="43"/>
        <v>64000</v>
      </c>
      <c r="M183" s="92">
        <f t="shared" ca="1" si="43"/>
        <v>91830</v>
      </c>
      <c r="N183" s="92">
        <f t="shared" ca="1" si="43"/>
        <v>91830</v>
      </c>
      <c r="O183" s="92">
        <f t="shared" ca="1" si="41"/>
        <v>143.484375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64000</v>
      </c>
      <c r="M184" s="497">
        <f ca="1">M185+M186</f>
        <v>91830</v>
      </c>
      <c r="N184" s="497">
        <f ca="1">N185+N186</f>
        <v>91830</v>
      </c>
      <c r="O184" s="497">
        <f t="shared" ca="1" si="41"/>
        <v>143.484375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IFERROR(__xludf.DUMMYFUNCTION("IMPORTRANGE(""https://docs.google.com/spreadsheets/d/1MeEWN-I1oV_STSDYn1IFDPWt_1FKiwhDph83XaGc0o0/edit?usp=sharing"",""งบพรบ!CO76"")"),64000)</f>
        <v>64000</v>
      </c>
      <c r="M186" s="92">
        <f ca="1">IFERROR(__xludf.DUMMYFUNCTION("IMPORTRANGE(""https://docs.google.com/spreadsheets/d/1MeEWN-I1oV_STSDYn1IFDPWt_1FKiwhDph83XaGc0o0/edit?usp=sharing"",""งบพรบ!CT76"")"),91830)</f>
        <v>91830</v>
      </c>
      <c r="N186" s="92">
        <f ca="1">IFERROR(__xludf.DUMMYFUNCTION("IMPORTRANGE(""https://docs.google.com/spreadsheets/d/1MeEWN-I1oV_STSDYn1IFDPWt_1FKiwhDph83XaGc0o0/edit?usp=sharing"",""งบพรบ!CV76"")"),91830)</f>
        <v>91830</v>
      </c>
      <c r="O186" s="92">
        <f t="shared" ca="1" si="41"/>
        <v>143.484375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IFERROR(__xludf.DUMMYFUNCTION("IMPORTRANGE(""https://docs.google.com/spreadsheets/d/1MeEWN-I1oV_STSDYn1IFDPWt_1FKiwhDph83XaGc0o0/edit?usp=sharing"",""งบพรบ!CR76"")"),0)</f>
        <v>0</v>
      </c>
      <c r="M189" s="92">
        <f ca="1">IFERROR(__xludf.DUMMYFUNCTION("IMPORTRANGE(""https://docs.google.com/spreadsheets/d/1MeEWN-I1oV_STSDYn1IFDPWt_1FKiwhDph83XaGc0o0/edit?usp=sharing"",""งบพรบ!CU76"")"),0)</f>
        <v>0</v>
      </c>
      <c r="N189" s="92">
        <f ca="1">IFERROR(__xludf.DUMMYFUNCTION("IMPORTRANGE(""https://docs.google.com/spreadsheets/d/1MeEWN-I1oV_STSDYn1IFDPWt_1FKiwhDph83XaGc0o0/edit?usp=sharing"",""งบพรบ!CW76"")"),0)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54" t="s">
        <v>17</v>
      </c>
      <c r="E191" s="147"/>
      <c r="F191" s="147"/>
      <c r="G191" s="150"/>
      <c r="H191" s="274" t="s">
        <v>12</v>
      </c>
      <c r="I191" s="420"/>
      <c r="J191" s="420"/>
      <c r="K191" s="153"/>
      <c r="L191" s="154">
        <f ca="1">IFERROR(__xludf.DUMMYFUNCTION("IMPORTRANGE(""https://docs.google.com/spreadsheets/d/1QqKyyYR6Q21VydFLVH3TRQUabQu_ym0Zz7PgGX0-kHA/edit?usp=sharing"",""แผน!Z76"")"),6000)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47" t="s">
        <v>38</v>
      </c>
      <c r="E192" s="172"/>
      <c r="F192" s="172"/>
      <c r="G192" s="173"/>
      <c r="H192" s="761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7" t="s">
        <v>91</v>
      </c>
      <c r="E193" s="177"/>
      <c r="F193" s="177"/>
      <c r="G193" s="178"/>
      <c r="H193" s="763" t="s">
        <v>90</v>
      </c>
      <c r="I193" s="269">
        <f ca="1">IFERROR(__xludf.DUMMYFUNCTION("IMPORTRANGE(""https://docs.google.com/spreadsheets/d/1QqKyyYR6Q21VydFLVH3TRQUabQu_ym0Zz7PgGX0-kHA/edit?usp=sharing"",""แผน!AC76"")"),4)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7" t="s">
        <v>92</v>
      </c>
      <c r="E194" s="177"/>
      <c r="F194" s="177"/>
      <c r="G194" s="178"/>
      <c r="H194" s="276" t="s">
        <v>35</v>
      </c>
      <c r="I194" s="269"/>
      <c r="J194" s="269">
        <f>J195+J196</f>
        <v>0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7" t="s">
        <v>93</v>
      </c>
      <c r="F195" s="177"/>
      <c r="G195" s="178"/>
      <c r="H195" s="276" t="s">
        <v>35</v>
      </c>
      <c r="I195" s="269"/>
      <c r="J195" s="214">
        <v>0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7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2</v>
      </c>
      <c r="J197" s="271">
        <f>J204</f>
        <v>2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54" t="s">
        <v>17</v>
      </c>
      <c r="E198" s="147"/>
      <c r="F198" s="147"/>
      <c r="G198" s="150"/>
      <c r="H198" s="274" t="s">
        <v>12</v>
      </c>
      <c r="I198" s="419"/>
      <c r="J198" s="419"/>
      <c r="K198" s="279"/>
      <c r="L198" s="154">
        <f ca="1">L199+L200+L201+L202</f>
        <v>26000</v>
      </c>
      <c r="M198" s="154"/>
      <c r="N198" s="154">
        <f>N199+N200+N201+N202</f>
        <v>26000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IFERROR(__xludf.DUMMYFUNCTION("IMPORTRANGE(""https://docs.google.com/spreadsheets/d/1QqKyyYR6Q21VydFLVH3TRQUabQu_ym0Zz7PgGX0-kHA/edit?usp=sharing"",""แผน!AE76"")"),2000)</f>
        <v>2000</v>
      </c>
      <c r="M199" s="497"/>
      <c r="N199" s="826">
        <v>2000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3"/>
      <c r="B200" s="280"/>
      <c r="C200" s="210"/>
      <c r="D200" s="281" t="s">
        <v>98</v>
      </c>
      <c r="E200" s="32"/>
      <c r="F200" s="32"/>
      <c r="G200" s="34"/>
      <c r="H200" s="622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IFERROR(__xludf.DUMMYFUNCTION("IMPORTRANGE(""https://docs.google.com/spreadsheets/d/1QqKyyYR6Q21VydFLVH3TRQUabQu_ym0Zz7PgGX0-kHA/edit?usp=sharing"",""แผน!AF76"")"),16000)</f>
        <v>16000</v>
      </c>
      <c r="M200" s="497"/>
      <c r="N200" s="826">
        <v>16000</v>
      </c>
      <c r="O200" s="497"/>
      <c r="P200" s="497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2"/>
      <c r="F201" s="32"/>
      <c r="G201" s="34"/>
      <c r="H201" s="622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IFERROR(__xludf.DUMMYFUNCTION("IMPORTRANGE(""https://docs.google.com/spreadsheets/d/1QqKyyYR6Q21VydFLVH3TRQUabQu_ym0Zz7PgGX0-kHA/edit?usp=sharing"",""แผน!AG76"")"),8000)</f>
        <v>8000</v>
      </c>
      <c r="M201" s="497"/>
      <c r="N201" s="826">
        <v>8000</v>
      </c>
      <c r="O201" s="497"/>
      <c r="P201" s="497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2"/>
      <c r="F202" s="32"/>
      <c r="G202" s="34"/>
      <c r="H202" s="622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IFERROR(__xludf.DUMMYFUNCTION("IMPORTRANGE(""https://docs.google.com/spreadsheets/d/1QqKyyYR6Q21VydFLVH3TRQUabQu_ym0Zz7PgGX0-kHA/edit?usp=sharing"",""แผน!AH76"")"),0)</f>
        <v>0</v>
      </c>
      <c r="M202" s="497"/>
      <c r="N202" s="826">
        <v>0</v>
      </c>
      <c r="O202" s="497"/>
      <c r="P202" s="497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69"/>
      <c r="B203" s="170"/>
      <c r="C203" s="210" t="s">
        <v>16</v>
      </c>
      <c r="D203" s="847" t="s">
        <v>38</v>
      </c>
      <c r="E203" s="172"/>
      <c r="F203" s="172"/>
      <c r="G203" s="173"/>
      <c r="H203" s="761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61" t="s">
        <v>96</v>
      </c>
      <c r="I204" s="269">
        <f ca="1">IFERROR(__xludf.DUMMYFUNCTION("IMPORTRANGE(""https://docs.google.com/spreadsheets/d/1QqKyyYR6Q21VydFLVH3TRQUabQu_ym0Zz7PgGX0-kHA/edit?usp=sharing"",""แผน!AI76"")"),2)</f>
        <v>2</v>
      </c>
      <c r="J204" s="214">
        <v>2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7" t="s">
        <v>59</v>
      </c>
      <c r="E205" s="177"/>
      <c r="F205" s="177"/>
      <c r="G205" s="178"/>
      <c r="H205" s="761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31" t="s">
        <v>102</v>
      </c>
      <c r="F206" s="286"/>
      <c r="G206" s="287"/>
      <c r="H206" s="288" t="s">
        <v>96</v>
      </c>
      <c r="I206" s="269">
        <v>2</v>
      </c>
      <c r="J206" s="214">
        <v>2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7"/>
      <c r="E207" s="447" t="s">
        <v>103</v>
      </c>
      <c r="F207" s="177"/>
      <c r="G207" s="177"/>
      <c r="H207" s="289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ca="1">I215</f>
        <v>1</v>
      </c>
      <c r="J208" s="271">
        <f>J215</f>
        <v>1</v>
      </c>
      <c r="K208" s="272">
        <f ca="1">IF(I208&gt;0,J208*100/I208,0)</f>
        <v>100</v>
      </c>
      <c r="L208" s="261"/>
      <c r="M208" s="261"/>
      <c r="N208" s="261"/>
      <c r="O208" s="261"/>
      <c r="P208" s="261"/>
    </row>
    <row r="209" spans="1:26" ht="19.5">
      <c r="A209" s="146"/>
      <c r="B209" s="147"/>
      <c r="C209" s="148" t="s">
        <v>16</v>
      </c>
      <c r="D209" s="854" t="s">
        <v>17</v>
      </c>
      <c r="E209" s="147"/>
      <c r="F209" s="147"/>
      <c r="G209" s="150"/>
      <c r="H209" s="274" t="s">
        <v>12</v>
      </c>
      <c r="I209" s="419"/>
      <c r="J209" s="419"/>
      <c r="K209" s="279"/>
      <c r="L209" s="154">
        <f ca="1">L210+L211+L212</f>
        <v>14000</v>
      </c>
      <c r="M209" s="154"/>
      <c r="N209" s="154">
        <f>N210+N211+N212</f>
        <v>14000</v>
      </c>
      <c r="O209" s="154">
        <f ca="1">IF(L209&gt;0,N209*100/L209,0)</f>
        <v>100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IFERROR(__xludf.DUMMYFUNCTION("IMPORTRANGE(""https://docs.google.com/spreadsheets/d/1QqKyyYR6Q21VydFLVH3TRQUabQu_ym0Zz7PgGX0-kHA/edit?usp=sharing"",""แผน!AK76"")"),1000)</f>
        <v>1000</v>
      </c>
      <c r="M210" s="497"/>
      <c r="N210" s="826">
        <v>1000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>
      <c r="A211" s="283"/>
      <c r="B211" s="280"/>
      <c r="C211" s="291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IFERROR(__xludf.DUMMYFUNCTION("IMPORTRANGE(""https://docs.google.com/spreadsheets/d/1QqKyyYR6Q21VydFLVH3TRQUabQu_ym0Zz7PgGX0-kHA/edit?usp=sharing"",""แผน!AL76"")"),5000)</f>
        <v>5000</v>
      </c>
      <c r="M211" s="497"/>
      <c r="N211" s="826">
        <v>5000</v>
      </c>
      <c r="O211" s="497"/>
      <c r="P211" s="497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>
      <c r="A212" s="283"/>
      <c r="B212" s="280"/>
      <c r="C212" s="291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IFERROR(__xludf.DUMMYFUNCTION("IMPORTRANGE(""https://docs.google.com/spreadsheets/d/1QqKyyYR6Q21VydFLVH3TRQUabQu_ym0Zz7PgGX0-kHA/edit?usp=sharing"",""แผน!AM76"")"),8000)</f>
        <v>8000</v>
      </c>
      <c r="M212" s="497"/>
      <c r="N212" s="826">
        <v>8000</v>
      </c>
      <c r="O212" s="497"/>
      <c r="P212" s="497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>
      <c r="A213" s="169"/>
      <c r="B213" s="170"/>
      <c r="C213" s="291" t="s">
        <v>16</v>
      </c>
      <c r="D213" s="847" t="s">
        <v>38</v>
      </c>
      <c r="E213" s="172"/>
      <c r="F213" s="172"/>
      <c r="G213" s="173"/>
      <c r="H213" s="761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>
      <c r="A214" s="169"/>
      <c r="B214" s="170"/>
      <c r="C214" s="170"/>
      <c r="D214" s="175" t="s">
        <v>106</v>
      </c>
      <c r="E214" s="177"/>
      <c r="F214" s="177"/>
      <c r="G214" s="178"/>
      <c r="H214" s="761" t="s">
        <v>96</v>
      </c>
      <c r="I214" s="269">
        <f ca="1">IFERROR(__xludf.DUMMYFUNCTION("IMPORTRANGE(""https://docs.google.com/spreadsheets/d/1QqKyyYR6Q21VydFLVH3TRQUabQu_ym0Zz7PgGX0-kHA/edit?usp=sharing"",""แผน!AN76"")"),1)</f>
        <v>1</v>
      </c>
      <c r="J214" s="214">
        <v>1</v>
      </c>
      <c r="K214" s="497">
        <f ca="1">IF(I214&gt;0,J214*100/I214,0)</f>
        <v>100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>
      <c r="A215" s="169"/>
      <c r="B215" s="170"/>
      <c r="C215" s="170"/>
      <c r="D215" s="175" t="s">
        <v>107</v>
      </c>
      <c r="E215" s="177"/>
      <c r="F215" s="177"/>
      <c r="G215" s="178"/>
      <c r="H215" s="761" t="s">
        <v>96</v>
      </c>
      <c r="I215" s="269">
        <f ca="1">IFERROR(__xludf.DUMMYFUNCTION("IMPORTRANGE(""https://docs.google.com/spreadsheets/d/1QqKyyYR6Q21VydFLVH3TRQUabQu_ym0Zz7PgGX0-kHA/edit?usp=sharing"",""แผน!AN76"")"),1)</f>
        <v>1</v>
      </c>
      <c r="J215" s="214">
        <v>1</v>
      </c>
      <c r="K215" s="497">
        <f ca="1">IF(I215&gt;0,J215*100/I215,0)</f>
        <v>100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ca="1">I224</f>
        <v>20000</v>
      </c>
      <c r="J216" s="271">
        <f>J224</f>
        <v>20000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54" t="s">
        <v>17</v>
      </c>
      <c r="E217" s="147"/>
      <c r="F217" s="147"/>
      <c r="G217" s="150"/>
      <c r="H217" s="274" t="s">
        <v>12</v>
      </c>
      <c r="I217" s="419"/>
      <c r="J217" s="419"/>
      <c r="K217" s="279"/>
      <c r="L217" s="154">
        <f ca="1">L218+L219+L220</f>
        <v>18000</v>
      </c>
      <c r="M217" s="154"/>
      <c r="N217" s="154">
        <f>N218+N219+N220</f>
        <v>18000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IFERROR(__xludf.DUMMYFUNCTION("IMPORTRANGE(""https://docs.google.com/spreadsheets/d/1QqKyyYR6Q21VydFLVH3TRQUabQu_ym0Zz7PgGX0-kHA/edit?usp=sharing"",""แผน!AP76"")"),3000)</f>
        <v>3000</v>
      </c>
      <c r="M218" s="497"/>
      <c r="N218" s="826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3"/>
      <c r="B219" s="280"/>
      <c r="C219" s="291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IFERROR(__xludf.DUMMYFUNCTION("IMPORTRANGE(""https://docs.google.com/spreadsheets/d/1QqKyyYR6Q21VydFLVH3TRQUabQu_ym0Zz7PgGX0-kHA/edit?usp=sharing"",""แผน!AQ76"")"),5000)</f>
        <v>5000</v>
      </c>
      <c r="M219" s="497"/>
      <c r="N219" s="826">
        <v>5000</v>
      </c>
      <c r="O219" s="497"/>
      <c r="P219" s="497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IFERROR(__xludf.DUMMYFUNCTION("IMPORTRANGE(""https://docs.google.com/spreadsheets/d/1QqKyyYR6Q21VydFLVH3TRQUabQu_ym0Zz7PgGX0-kHA/edit?usp=sharing"",""แผน!AR76"")"),10000)</f>
        <v>10000</v>
      </c>
      <c r="M220" s="497"/>
      <c r="N220" s="826">
        <v>10000</v>
      </c>
      <c r="O220" s="497"/>
      <c r="P220" s="497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69"/>
      <c r="B221" s="170"/>
      <c r="C221" s="291" t="s">
        <v>16</v>
      </c>
      <c r="D221" s="847" t="s">
        <v>38</v>
      </c>
      <c r="E221" s="172"/>
      <c r="F221" s="172"/>
      <c r="G221" s="173"/>
      <c r="H221" s="761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61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63" t="s">
        <v>109</v>
      </c>
      <c r="I223" s="269">
        <f ca="1">IFERROR(__xludf.DUMMYFUNCTION("IMPORTRANGE(""https://docs.google.com/spreadsheets/d/1QqKyyYR6Q21VydFLVH3TRQUabQu_ym0Zz7PgGX0-kHA/edit?usp=sharing"",""แผน!AT76"")"),20000)</f>
        <v>20000</v>
      </c>
      <c r="J223" s="214">
        <v>20000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63" t="s">
        <v>109</v>
      </c>
      <c r="I224" s="269">
        <f ca="1">IFERROR(__xludf.DUMMYFUNCTION("IMPORTRANGE(""https://docs.google.com/spreadsheets/d/1QqKyyYR6Q21VydFLVH3TRQUabQu_ym0Zz7PgGX0-kHA/edit?usp=sharing"",""แผน!AT76"")"),20000)</f>
        <v>20000</v>
      </c>
      <c r="J224" s="214">
        <v>20000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63" t="s">
        <v>35</v>
      </c>
      <c r="I225" s="269">
        <f ca="1">IFERROR(__xludf.DUMMYFUNCTION("IMPORTRANGE(""https://docs.google.com/spreadsheets/d/1QqKyyYR6Q21VydFLVH3TRQUabQu_ym0Zz7PgGX0-kHA/edit?usp=sharing"",""แผน!AS76"")"),10)</f>
        <v>10</v>
      </c>
      <c r="J225" s="214">
        <v>10</v>
      </c>
      <c r="K225" s="162">
        <f ca="1">IF(I225&gt;0,J225*100/I225,0)</f>
        <v>100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0</v>
      </c>
      <c r="J226" s="344">
        <f>J237+J248</f>
        <v>0</v>
      </c>
      <c r="K226" s="345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0</v>
      </c>
      <c r="M227" s="355"/>
      <c r="N227" s="355">
        <f>N238+N249</f>
        <v>0</v>
      </c>
      <c r="O227" s="855"/>
      <c r="P227" s="85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6"/>
      <c r="J229" s="616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6"/>
      <c r="J230" s="616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6"/>
      <c r="J231" s="616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6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6">
        <f ca="1">I244+I255</f>
        <v>0</v>
      </c>
      <c r="J233" s="616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6"/>
      <c r="J234" s="616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6">
        <f>I246+I257</f>
        <v>0</v>
      </c>
      <c r="J235" s="616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6">
        <f>I247+I258</f>
        <v>0</v>
      </c>
      <c r="J236" s="616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270" t="s">
        <v>332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46" t="s">
        <v>17</v>
      </c>
      <c r="E238" s="147"/>
      <c r="F238" s="147"/>
      <c r="G238" s="150"/>
      <c r="H238" s="274" t="s">
        <v>12</v>
      </c>
      <c r="I238" s="419"/>
      <c r="J238" s="419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IFERROR(__xludf.DUMMYFUNCTION("IMPORTRANGE(""https://docs.google.com/spreadsheets/d/1QqKyyYR6Q21VydFLVH3TRQUabQu_ym0Zz7PgGX0-kHA/edit?usp=sharing"",""แผน!AV76"")"),0)</f>
        <v>0</v>
      </c>
      <c r="M239" s="321"/>
      <c r="N239" s="853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IFERROR(__xludf.DUMMYFUNCTION("IMPORTRANGE(""https://docs.google.com/spreadsheets/d/1QqKyyYR6Q21VydFLVH3TRQUabQu_ym0Zz7PgGX0-kHA/edit?usp=sharing"",""แผน!AW76"")"),0)</f>
        <v>0</v>
      </c>
      <c r="M240" s="321"/>
      <c r="N240" s="853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IFERROR(__xludf.DUMMYFUNCTION("IMPORTRANGE(""https://docs.google.com/spreadsheets/d/1QqKyyYR6Q21VydFLVH3TRQUabQu_ym0Zz7PgGX0-kHA/edit?usp=sharing"",""แผน!AX76"")"),0)</f>
        <v>0</v>
      </c>
      <c r="M241" s="321"/>
      <c r="N241" s="853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IFERROR(__xludf.DUMMYFUNCTION("IMPORTRANGE(""https://docs.google.com/spreadsheets/d/1QqKyyYR6Q21VydFLVH3TRQUabQu_ym0Zz7PgGX0-kHA/edit?usp=sharing"",""แผน!AY76"")"),0)</f>
        <v>0</v>
      </c>
      <c r="M242" s="321"/>
      <c r="N242" s="853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1" t="s">
        <v>16</v>
      </c>
      <c r="D243" s="847" t="s">
        <v>38</v>
      </c>
      <c r="E243" s="172"/>
      <c r="F243" s="172"/>
      <c r="G243" s="173"/>
      <c r="H243" s="761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47" t="s">
        <v>117</v>
      </c>
      <c r="E244" s="177"/>
      <c r="F244" s="177"/>
      <c r="G244" s="178"/>
      <c r="H244" s="763" t="s">
        <v>35</v>
      </c>
      <c r="I244" s="269">
        <f ca="1">IFERROR(__xludf.DUMMYFUNCTION("IMPORTRANGE(""https://docs.google.com/spreadsheets/d/1QqKyyYR6Q21VydFLVH3TRQUabQu_ym0Zz7PgGX0-kHA/edit?usp=sharing"",""แผน!BE76"")"),0)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852" t="s">
        <v>43</v>
      </c>
      <c r="E245" s="177"/>
      <c r="F245" s="177"/>
      <c r="G245" s="178"/>
      <c r="H245" s="763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175" t="s">
        <v>118</v>
      </c>
      <c r="F246" s="177"/>
      <c r="G246" s="178"/>
      <c r="H246" s="763" t="s">
        <v>35</v>
      </c>
      <c r="I246" s="269"/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763" t="s">
        <v>66</v>
      </c>
      <c r="I247" s="269"/>
      <c r="J247" s="214">
        <v>0</v>
      </c>
      <c r="K247" s="497">
        <f>IF(I247&gt;0,J247*100/I247,0)</f>
        <v>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54" t="s">
        <v>17</v>
      </c>
      <c r="E249" s="147"/>
      <c r="F249" s="147"/>
      <c r="G249" s="150"/>
      <c r="H249" s="274" t="s">
        <v>12</v>
      </c>
      <c r="I249" s="419"/>
      <c r="J249" s="419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IFERROR(__xludf.DUMMYFUNCTION("IMPORTRANGE(""https://docs.google.com/spreadsheets/d/1QqKyyYR6Q21VydFLVH3TRQUabQu_ym0Zz7PgGX0-kHA/edit?usp=sharing"",""แผน!AZ76"")"),0)</f>
        <v>0</v>
      </c>
      <c r="M250" s="321"/>
      <c r="N250" s="853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IFERROR(__xludf.DUMMYFUNCTION("IMPORTRANGE(""https://docs.google.com/spreadsheets/d/1QqKyyYR6Q21VydFLVH3TRQUabQu_ym0Zz7PgGX0-kHA/edit?usp=sharing"",""แผน!BA76"")"),0)</f>
        <v>0</v>
      </c>
      <c r="M251" s="321"/>
      <c r="N251" s="853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IFERROR(__xludf.DUMMYFUNCTION("IMPORTRANGE(""https://docs.google.com/spreadsheets/d/1QqKyyYR6Q21VydFLVH3TRQUabQu_ym0Zz7PgGX0-kHA/edit?usp=sharing"",""แผน!BB76"")"),0)</f>
        <v>0</v>
      </c>
      <c r="M252" s="321"/>
      <c r="N252" s="853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IFERROR(__xludf.DUMMYFUNCTION("IMPORTRANGE(""https://docs.google.com/spreadsheets/d/1QqKyyYR6Q21VydFLVH3TRQUabQu_ym0Zz7PgGX0-kHA/edit?usp=sharing"",""แผน!BC76"")"),0)</f>
        <v>0</v>
      </c>
      <c r="M253" s="321"/>
      <c r="N253" s="853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1" t="s">
        <v>16</v>
      </c>
      <c r="D254" s="847" t="s">
        <v>38</v>
      </c>
      <c r="E254" s="172"/>
      <c r="F254" s="172"/>
      <c r="G254" s="173"/>
      <c r="H254" s="761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7" t="s">
        <v>117</v>
      </c>
      <c r="E255" s="177"/>
      <c r="F255" s="177"/>
      <c r="G255" s="178"/>
      <c r="H255" s="763" t="s">
        <v>35</v>
      </c>
      <c r="I255" s="269">
        <f ca="1">IFERROR(__xludf.DUMMYFUNCTION("IMPORTRANGE(""https://docs.google.com/spreadsheets/d/1QqKyyYR6Q21VydFLVH3TRQUabQu_ym0Zz7PgGX0-kHA/edit?usp=sharing"",""แผน!BF76"")"),0)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52" t="s">
        <v>43</v>
      </c>
      <c r="E256" s="177"/>
      <c r="F256" s="177"/>
      <c r="G256" s="178"/>
      <c r="H256" s="763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63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63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24</v>
      </c>
      <c r="J260" s="252">
        <f>J271</f>
        <v>24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46" t="s">
        <v>17</v>
      </c>
      <c r="E261" s="147"/>
      <c r="F261" s="147"/>
      <c r="G261" s="150"/>
      <c r="H261" s="151" t="s">
        <v>12</v>
      </c>
      <c r="I261" s="420"/>
      <c r="J261" s="420"/>
      <c r="K261" s="153"/>
      <c r="L261" s="154">
        <f ca="1">L262+L263</f>
        <v>28800</v>
      </c>
      <c r="M261" s="154">
        <f ca="1">M262+M263</f>
        <v>28800</v>
      </c>
      <c r="N261" s="154">
        <f ca="1">N262+N263</f>
        <v>28800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6"/>
      <c r="J262" s="616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6"/>
      <c r="J263" s="616"/>
      <c r="K263" s="92"/>
      <c r="L263" s="92">
        <f t="shared" ca="1" si="46"/>
        <v>28800</v>
      </c>
      <c r="M263" s="92">
        <f t="shared" ca="1" si="46"/>
        <v>28800</v>
      </c>
      <c r="N263" s="92">
        <f t="shared" ca="1" si="46"/>
        <v>28800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28800</v>
      </c>
      <c r="M264" s="497">
        <f ca="1">M265+M266</f>
        <v>28800</v>
      </c>
      <c r="N264" s="497">
        <f ca="1">N265+N266</f>
        <v>28800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IFERROR(__xludf.DUMMYFUNCTION("IMPORTRANGE(""https://docs.google.com/spreadsheets/d/1MeEWN-I1oV_STSDYn1IFDPWt_1FKiwhDph83XaGc0o0/edit?usp=sharing"",""งบพรบ!CY76"")"),28800)</f>
        <v>28800</v>
      </c>
      <c r="M266" s="92">
        <f ca="1">IFERROR(__xludf.DUMMYFUNCTION("IMPORTRANGE(""https://docs.google.com/spreadsheets/d/1MeEWN-I1oV_STSDYn1IFDPWt_1FKiwhDph83XaGc0o0/edit?usp=sharing"",""งบพรบ!DD76"")"),28800)</f>
        <v>28800</v>
      </c>
      <c r="N266" s="92">
        <f ca="1">IFERROR(__xludf.DUMMYFUNCTION("IMPORTRANGE(""https://docs.google.com/spreadsheets/d/1MeEWN-I1oV_STSDYn1IFDPWt_1FKiwhDph83XaGc0o0/edit?usp=sharing"",""งบพรบ!DF76"")"),28800)</f>
        <v>28800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IFERROR(__xludf.DUMMYFUNCTION("IMPORTRANGE(""https://docs.google.com/spreadsheets/d/1MeEWN-I1oV_STSDYn1IFDPWt_1FKiwhDph83XaGc0o0/edit?usp=sharing"",""งบพรบ!DB76"")"),0)</f>
        <v>0</v>
      </c>
      <c r="M269" s="92">
        <f ca="1">IFERROR(__xludf.DUMMYFUNCTION("IMPORTRANGE(""https://docs.google.com/spreadsheets/d/1MeEWN-I1oV_STSDYn1IFDPWt_1FKiwhDph83XaGc0o0/edit?usp=sharing"",""งบพรบ!DE76"")"),0)</f>
        <v>0</v>
      </c>
      <c r="N269" s="92">
        <f ca="1">IFERROR(__xludf.DUMMYFUNCTION("IMPORTRANGE(""https://docs.google.com/spreadsheets/d/1MeEWN-I1oV_STSDYn1IFDPWt_1FKiwhDph83XaGc0o0/edit?usp=sharing"",""งบพรบ!DG76"")"),0)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47" t="s">
        <v>38</v>
      </c>
      <c r="E270" s="172"/>
      <c r="F270" s="172"/>
      <c r="G270" s="173"/>
      <c r="H270" s="761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IFERROR(__xludf.DUMMYFUNCTION("IMPORTRANGE(""https://docs.google.com/spreadsheets/d/1QqKyyYR6Q21VydFLVH3TRQUabQu_ym0Zz7PgGX0-kHA/edit?usp=sharing"",""แผน!EA76"")"),24)</f>
        <v>24</v>
      </c>
      <c r="J271" s="214">
        <v>24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5">
        <v>0</v>
      </c>
      <c r="J272" s="505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5</v>
      </c>
      <c r="J275" s="405">
        <f ca="1">J288</f>
        <v>10</v>
      </c>
      <c r="K275" s="406">
        <f ca="1">IF(I275&gt;0,J275*100/I275,0)</f>
        <v>200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9">
        <f ca="1">I287</f>
        <v>50</v>
      </c>
      <c r="J276" s="409">
        <f>J287</f>
        <v>50</v>
      </c>
      <c r="K276" s="407">
        <f ca="1">IF(I276&gt;0,J276*100/I276,0)</f>
        <v>100</v>
      </c>
      <c r="L276" s="407"/>
      <c r="M276" s="407"/>
      <c r="N276" s="407"/>
      <c r="O276" s="407"/>
      <c r="P276" s="407"/>
    </row>
    <row r="277" spans="1:26" ht="19.5">
      <c r="A277" s="146"/>
      <c r="B277" s="147"/>
      <c r="C277" s="148" t="s">
        <v>16</v>
      </c>
      <c r="D277" s="846" t="s">
        <v>17</v>
      </c>
      <c r="E277" s="147"/>
      <c r="F277" s="147"/>
      <c r="G277" s="150"/>
      <c r="H277" s="151" t="s">
        <v>12</v>
      </c>
      <c r="I277" s="420"/>
      <c r="J277" s="420"/>
      <c r="K277" s="153"/>
      <c r="L277" s="154">
        <f ca="1">L278+L279</f>
        <v>22630</v>
      </c>
      <c r="M277" s="154">
        <f ca="1">M278+M279</f>
        <v>22630</v>
      </c>
      <c r="N277" s="154">
        <f ca="1">N278+N279</f>
        <v>22630</v>
      </c>
      <c r="O277" s="154">
        <f t="shared" ref="O277:O285" ca="1" si="47">IF(L277&gt;0,N277*100/L277,0)</f>
        <v>100</v>
      </c>
      <c r="P277" s="154">
        <f t="shared" ref="P277:P285" ca="1" si="48">IF(M277&gt;0,N277*100/M277,0)</f>
        <v>100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6"/>
      <c r="J278" s="616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6"/>
      <c r="J279" s="616"/>
      <c r="K279" s="92"/>
      <c r="L279" s="92">
        <f t="shared" ca="1" si="49"/>
        <v>22630</v>
      </c>
      <c r="M279" s="92">
        <f t="shared" ca="1" si="49"/>
        <v>22630</v>
      </c>
      <c r="N279" s="92">
        <f t="shared" ca="1" si="49"/>
        <v>22630</v>
      </c>
      <c r="O279" s="92">
        <f t="shared" ca="1" si="47"/>
        <v>100</v>
      </c>
      <c r="P279" s="92">
        <f t="shared" ca="1" si="48"/>
        <v>100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22630</v>
      </c>
      <c r="M280" s="497">
        <f ca="1">M281+M282</f>
        <v>22630</v>
      </c>
      <c r="N280" s="497">
        <f ca="1">N281+N282</f>
        <v>22630</v>
      </c>
      <c r="O280" s="497">
        <f t="shared" ca="1" si="47"/>
        <v>100</v>
      </c>
      <c r="P280" s="497">
        <f t="shared" ca="1" si="48"/>
        <v>100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IFERROR(__xludf.DUMMYFUNCTION("IMPORTRANGE(""https://docs.google.com/spreadsheets/d/1MeEWN-I1oV_STSDYn1IFDPWt_1FKiwhDph83XaGc0o0/edit?usp=sharing"",""งบพรบ!DI76"")"),22630)</f>
        <v>22630</v>
      </c>
      <c r="M282" s="92">
        <f ca="1">IFERROR(__xludf.DUMMYFUNCTION("IMPORTRANGE(""https://docs.google.com/spreadsheets/d/1MeEWN-I1oV_STSDYn1IFDPWt_1FKiwhDph83XaGc0o0/edit?usp=sharing"",""งบพรบ!DN76"")"),22630)</f>
        <v>22630</v>
      </c>
      <c r="N282" s="92">
        <f ca="1">IFERROR(__xludf.DUMMYFUNCTION("IMPORTRANGE(""https://docs.google.com/spreadsheets/d/1MeEWN-I1oV_STSDYn1IFDPWt_1FKiwhDph83XaGc0o0/edit?usp=sharing"",""งบพรบ!DP76"")"),22630)</f>
        <v>22630</v>
      </c>
      <c r="O282" s="92">
        <f t="shared" ca="1" si="47"/>
        <v>100</v>
      </c>
      <c r="P282" s="92">
        <f t="shared" ca="1" si="48"/>
        <v>100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IFERROR(__xludf.DUMMYFUNCTION("IMPORTRANGE(""https://docs.google.com/spreadsheets/d/1MeEWN-I1oV_STSDYn1IFDPWt_1FKiwhDph83XaGc0o0/edit?usp=sharing"",""งบพรบ!DL76"")"),0)</f>
        <v>0</v>
      </c>
      <c r="M285" s="92">
        <f ca="1">IFERROR(__xludf.DUMMYFUNCTION("IMPORTRANGE(""https://docs.google.com/spreadsheets/d/1MeEWN-I1oV_STSDYn1IFDPWt_1FKiwhDph83XaGc0o0/edit?usp=sharing"",""งบพรบ!DO76"")"),0)</f>
        <v>0</v>
      </c>
      <c r="N285" s="92">
        <f ca="1">IFERROR(__xludf.DUMMYFUNCTION("IMPORTRANGE(""https://docs.google.com/spreadsheets/d/1MeEWN-I1oV_STSDYn1IFDPWt_1FKiwhDph83XaGc0o0/edit?usp=sharing"",""งบพรบ!DQ76"")"),0)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47" t="s">
        <v>38</v>
      </c>
      <c r="E286" s="172"/>
      <c r="F286" s="172"/>
      <c r="G286" s="173"/>
      <c r="H286" s="761"/>
      <c r="I286" s="183"/>
      <c r="J286" s="183"/>
      <c r="K286" s="162"/>
      <c r="L286" s="162"/>
      <c r="M286" s="162"/>
      <c r="N286" s="162"/>
      <c r="O286" s="162"/>
      <c r="P286" s="162"/>
    </row>
    <row r="287" spans="1:26" ht="18.75">
      <c r="A287" s="169"/>
      <c r="B287" s="170"/>
      <c r="C287" s="170"/>
      <c r="D287" s="625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IFERROR(__xludf.DUMMYFUNCTION("IMPORTRANGE(""https://docs.google.com/spreadsheets/d/1QqKyyYR6Q21VydFLVH3TRQUabQu_ym0Zz7PgGX0-kHA/edit?usp=sharing"",""แผน!EC76"")"),50)</f>
        <v>50</v>
      </c>
      <c r="J287" s="214">
        <v>50</v>
      </c>
      <c r="K287" s="162">
        <f ca="1">IF(I287&gt;0,J287*100/I287,0)</f>
        <v>100</v>
      </c>
      <c r="L287" s="162"/>
      <c r="M287" s="162"/>
      <c r="N287" s="162"/>
      <c r="O287" s="162"/>
      <c r="P287" s="162"/>
    </row>
    <row r="288" spans="1:26" ht="19.5">
      <c r="A288" s="169"/>
      <c r="B288" s="170"/>
      <c r="C288" s="170"/>
      <c r="D288" s="625" t="s">
        <v>130</v>
      </c>
      <c r="E288" s="170"/>
      <c r="F288" s="177"/>
      <c r="G288" s="178"/>
      <c r="H288" s="179" t="s">
        <v>35</v>
      </c>
      <c r="I288" s="680">
        <f ca="1">IFERROR(__xludf.DUMMYFUNCTION("IMPORTRANGE(""https://docs.google.com/spreadsheets/d/1QqKyyYR6Q21VydFLVH3TRQUabQu_ym0Zz7PgGX0-kHA/edit?usp=sharing"",""แผน!EB76"")"),5)</f>
        <v>5</v>
      </c>
      <c r="J288" s="680">
        <f ca="1">IF(AND(J291&gt;=I288,J294&gt;=I288),J294,0)</f>
        <v>10</v>
      </c>
      <c r="K288" s="411">
        <f ca="1">IF(I288&gt;0,J288*100/I288,0)</f>
        <v>200</v>
      </c>
      <c r="L288" s="162"/>
      <c r="M288" s="162"/>
      <c r="N288" s="162"/>
      <c r="O288" s="162"/>
      <c r="P288" s="162"/>
    </row>
    <row r="289" spans="1:26" ht="19.5">
      <c r="A289" s="169"/>
      <c r="B289" s="170"/>
      <c r="C289" s="170"/>
      <c r="D289" s="412"/>
      <c r="E289" s="413" t="s">
        <v>131</v>
      </c>
      <c r="F289" s="177"/>
      <c r="G289" s="178"/>
      <c r="H289" s="763"/>
      <c r="I289" s="183"/>
      <c r="J289" s="269"/>
      <c r="K289" s="162"/>
      <c r="L289" s="162"/>
      <c r="M289" s="162"/>
      <c r="N289" s="162"/>
      <c r="O289" s="162"/>
      <c r="P289" s="162"/>
    </row>
    <row r="290" spans="1:26" ht="19.5">
      <c r="A290" s="169"/>
      <c r="B290" s="170"/>
      <c r="C290" s="170"/>
      <c r="D290" s="412"/>
      <c r="E290" s="625" t="s">
        <v>132</v>
      </c>
      <c r="F290" s="177"/>
      <c r="G290" s="178"/>
      <c r="H290" s="763" t="s">
        <v>35</v>
      </c>
      <c r="I290" s="183">
        <f ca="1">IFERROR(__xludf.DUMMYFUNCTION("IMPORTRANGE(""https://docs.google.com/spreadsheets/d/1QqKyyYR6Q21VydFLVH3TRQUabQu_ym0Zz7PgGX0-kHA/edit?usp=sharing"",""แผน!EB76"")"),5)</f>
        <v>5</v>
      </c>
      <c r="J290" s="214">
        <v>10</v>
      </c>
      <c r="K290" s="162">
        <f ca="1">IF(I290&gt;0,J290*100/I290,0)</f>
        <v>200</v>
      </c>
      <c r="L290" s="162"/>
      <c r="M290" s="162"/>
      <c r="N290" s="162"/>
      <c r="O290" s="162"/>
      <c r="P290" s="162"/>
    </row>
    <row r="291" spans="1:26" ht="19.5">
      <c r="A291" s="169"/>
      <c r="B291" s="170"/>
      <c r="C291" s="170"/>
      <c r="D291" s="177"/>
      <c r="E291" s="625" t="s">
        <v>133</v>
      </c>
      <c r="F291" s="177"/>
      <c r="G291" s="178"/>
      <c r="H291" s="763" t="s">
        <v>35</v>
      </c>
      <c r="I291" s="183">
        <f ca="1">IFERROR(__xludf.DUMMYFUNCTION("IMPORTRANGE(""https://docs.google.com/spreadsheets/d/1QqKyyYR6Q21VydFLVH3TRQUabQu_ym0Zz7PgGX0-kHA/edit?usp=sharing"",""แผน!EB76"")"),5)</f>
        <v>5</v>
      </c>
      <c r="J291" s="214">
        <v>10</v>
      </c>
      <c r="K291" s="162">
        <f ca="1">IF(I291&gt;0,J291*100/I291,0)</f>
        <v>200</v>
      </c>
      <c r="L291" s="162"/>
      <c r="M291" s="162"/>
      <c r="N291" s="162"/>
      <c r="O291" s="162"/>
      <c r="P291" s="162"/>
    </row>
    <row r="292" spans="1:26" ht="19.5">
      <c r="A292" s="414"/>
      <c r="B292" s="415"/>
      <c r="C292" s="415"/>
      <c r="D292" s="416"/>
      <c r="E292" s="417" t="s">
        <v>134</v>
      </c>
      <c r="F292" s="286"/>
      <c r="G292" s="287"/>
      <c r="H292" s="418"/>
      <c r="I292" s="419"/>
      <c r="J292" s="420"/>
      <c r="K292" s="279"/>
      <c r="L292" s="279"/>
      <c r="M292" s="279"/>
      <c r="N292" s="279"/>
      <c r="O292" s="279"/>
      <c r="P292" s="279"/>
    </row>
    <row r="293" spans="1:26" ht="19.5">
      <c r="A293" s="169"/>
      <c r="B293" s="170"/>
      <c r="C293" s="170"/>
      <c r="D293" s="412"/>
      <c r="E293" s="625" t="s">
        <v>132</v>
      </c>
      <c r="F293" s="177"/>
      <c r="G293" s="178"/>
      <c r="H293" s="763" t="s">
        <v>35</v>
      </c>
      <c r="I293" s="183">
        <f ca="1">IFERROR(__xludf.DUMMYFUNCTION("IMPORTRANGE(""https://docs.google.com/spreadsheets/d/1QqKyyYR6Q21VydFLVH3TRQUabQu_ym0Zz7PgGX0-kHA/edit?usp=sharing"",""แผน!EB76"")"),5)</f>
        <v>5</v>
      </c>
      <c r="J293" s="214">
        <v>10</v>
      </c>
      <c r="K293" s="162">
        <f ca="1">IF(I293&gt;0,J293*100/I293,0)</f>
        <v>200</v>
      </c>
      <c r="L293" s="162"/>
      <c r="M293" s="162"/>
      <c r="N293" s="162"/>
      <c r="O293" s="162"/>
      <c r="P293" s="162"/>
    </row>
    <row r="294" spans="1:26" ht="19.5">
      <c r="A294" s="377"/>
      <c r="B294" s="378"/>
      <c r="C294" s="378"/>
      <c r="D294" s="380"/>
      <c r="E294" s="733" t="s">
        <v>136</v>
      </c>
      <c r="F294" s="380"/>
      <c r="G294" s="381"/>
      <c r="H294" s="422" t="s">
        <v>35</v>
      </c>
      <c r="I294" s="423">
        <f ca="1">IFERROR(__xludf.DUMMYFUNCTION("IMPORTRANGE(""https://docs.google.com/spreadsheets/d/1QqKyyYR6Q21VydFLVH3TRQUabQu_ym0Zz7PgGX0-kHA/edit?usp=sharing"",""แผน!EB76"")"),5)</f>
        <v>5</v>
      </c>
      <c r="J294" s="424">
        <v>10</v>
      </c>
      <c r="K294" s="384">
        <f ca="1">IF(I294&gt;0,J294*100/I294,0)</f>
        <v>200</v>
      </c>
      <c r="L294" s="384"/>
      <c r="M294" s="384"/>
      <c r="N294" s="384"/>
      <c r="O294" s="384"/>
      <c r="P294" s="384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20</v>
      </c>
      <c r="J297" s="444">
        <f>J309</f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6"/>
      <c r="B298" s="147"/>
      <c r="C298" s="148" t="s">
        <v>16</v>
      </c>
      <c r="D298" s="846" t="s">
        <v>17</v>
      </c>
      <c r="E298" s="147"/>
      <c r="F298" s="147"/>
      <c r="G298" s="150"/>
      <c r="H298" s="151" t="s">
        <v>12</v>
      </c>
      <c r="I298" s="420"/>
      <c r="J298" s="420"/>
      <c r="K298" s="153"/>
      <c r="L298" s="154">
        <f ca="1">L299+L300</f>
        <v>82400</v>
      </c>
      <c r="M298" s="154">
        <f ca="1">M299+M300</f>
        <v>111400</v>
      </c>
      <c r="N298" s="154">
        <f ca="1">N299+N300</f>
        <v>111400</v>
      </c>
      <c r="O298" s="154">
        <f t="shared" ref="O298:O306" ca="1" si="50">IF(L298&gt;0,N298*100/L298,0)</f>
        <v>135.19417475728156</v>
      </c>
      <c r="P298" s="154">
        <f t="shared" ref="P298:P306" ca="1" si="51">IF(M298&gt;0,N298*100/M298,0)</f>
        <v>100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6"/>
      <c r="J299" s="616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6"/>
      <c r="J300" s="616"/>
      <c r="K300" s="92"/>
      <c r="L300" s="92">
        <f t="shared" ca="1" si="52"/>
        <v>82400</v>
      </c>
      <c r="M300" s="92">
        <f t="shared" ca="1" si="52"/>
        <v>111400</v>
      </c>
      <c r="N300" s="92">
        <f t="shared" ca="1" si="52"/>
        <v>111400</v>
      </c>
      <c r="O300" s="92">
        <f t="shared" ca="1" si="50"/>
        <v>135.19417475728156</v>
      </c>
      <c r="P300" s="92">
        <f t="shared" ca="1" si="51"/>
        <v>100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82400</v>
      </c>
      <c r="M301" s="497">
        <f ca="1">M302+M303</f>
        <v>111400</v>
      </c>
      <c r="N301" s="497">
        <f ca="1">N302+N303</f>
        <v>111400</v>
      </c>
      <c r="O301" s="497">
        <f t="shared" ca="1" si="50"/>
        <v>135.19417475728156</v>
      </c>
      <c r="P301" s="497">
        <f t="shared" ca="1" si="51"/>
        <v>100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IFERROR(__xludf.DUMMYFUNCTION("IMPORTRANGE(""https://docs.google.com/spreadsheets/d/1MeEWN-I1oV_STSDYn1IFDPWt_1FKiwhDph83XaGc0o0/edit?usp=sharing"",""งบพรบ!DS76"")"),82400)</f>
        <v>82400</v>
      </c>
      <c r="M303" s="92">
        <f ca="1">IFERROR(__xludf.DUMMYFUNCTION("IMPORTRANGE(""https://docs.google.com/spreadsheets/d/1MeEWN-I1oV_STSDYn1IFDPWt_1FKiwhDph83XaGc0o0/edit?usp=sharing"",""งบพรบ!DX76"")"),111400)</f>
        <v>111400</v>
      </c>
      <c r="N303" s="92">
        <f ca="1">IFERROR(__xludf.DUMMYFUNCTION("IMPORTRANGE(""https://docs.google.com/spreadsheets/d/1MeEWN-I1oV_STSDYn1IFDPWt_1FKiwhDph83XaGc0o0/edit?usp=sharing"",""งบพรบ!DZ76"")"),111400)</f>
        <v>111400</v>
      </c>
      <c r="O303" s="92">
        <f t="shared" ca="1" si="50"/>
        <v>135.19417475728156</v>
      </c>
      <c r="P303" s="92">
        <f t="shared" ca="1" si="51"/>
        <v>100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IFERROR(__xludf.DUMMYFUNCTION("IMPORTRANGE(""https://docs.google.com/spreadsheets/d/1MeEWN-I1oV_STSDYn1IFDPWt_1FKiwhDph83XaGc0o0/edit?usp=sharing"",""งบพรบ!DV76"")"),0)</f>
        <v>0</v>
      </c>
      <c r="M306" s="92">
        <f ca="1">IFERROR(__xludf.DUMMYFUNCTION("IMPORTRANGE(""https://docs.google.com/spreadsheets/d/1MeEWN-I1oV_STSDYn1IFDPWt_1FKiwhDph83XaGc0o0/edit?usp=sharing"",""งบพรบ!DY76"")"),0)</f>
        <v>0</v>
      </c>
      <c r="N306" s="92">
        <f ca="1">IFERROR(__xludf.DUMMYFUNCTION("IMPORTRANGE(""https://docs.google.com/spreadsheets/d/1MeEWN-I1oV_STSDYn1IFDPWt_1FKiwhDph83XaGc0o0/edit?usp=sharing"",""งบพรบ!EA76"")"),0)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47" t="s">
        <v>38</v>
      </c>
      <c r="E307" s="172"/>
      <c r="F307" s="172"/>
      <c r="G307" s="173"/>
      <c r="H307" s="761"/>
      <c r="I307" s="269"/>
      <c r="J307" s="269"/>
      <c r="K307" s="497"/>
      <c r="L307" s="497"/>
      <c r="M307" s="497"/>
      <c r="N307" s="497"/>
      <c r="O307" s="497"/>
      <c r="P307" s="497"/>
    </row>
    <row r="308" spans="1:26" ht="18.75">
      <c r="A308" s="169"/>
      <c r="B308" s="170"/>
      <c r="C308" s="170"/>
      <c r="D308" s="447" t="s">
        <v>140</v>
      </c>
      <c r="E308" s="447"/>
      <c r="F308" s="447"/>
      <c r="G308" s="178"/>
      <c r="H308" s="763"/>
      <c r="I308" s="269"/>
      <c r="J308" s="214">
        <v>1</v>
      </c>
      <c r="K308" s="497"/>
      <c r="L308" s="497"/>
      <c r="M308" s="497"/>
      <c r="N308" s="497"/>
      <c r="O308" s="497"/>
      <c r="P308" s="497"/>
    </row>
    <row r="309" spans="1:26" ht="18.75">
      <c r="A309" s="169"/>
      <c r="B309" s="170"/>
      <c r="C309" s="170"/>
      <c r="D309" s="447" t="s">
        <v>141</v>
      </c>
      <c r="E309" s="447"/>
      <c r="F309" s="447"/>
      <c r="G309" s="178"/>
      <c r="H309" s="763" t="s">
        <v>35</v>
      </c>
      <c r="I309" s="269">
        <f ca="1">IFERROR(__xludf.DUMMYFUNCTION("IMPORTRANGE(""https://docs.google.com/spreadsheets/d/1QqKyyYR6Q21VydFLVH3TRQUabQu_ym0Zz7PgGX0-kHA/edit?usp=sharing"",""แผน!ED76"")"),20)</f>
        <v>20</v>
      </c>
      <c r="J309" s="214">
        <v>20</v>
      </c>
      <c r="K309" s="497">
        <f ca="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69"/>
      <c r="B310" s="170"/>
      <c r="C310" s="170"/>
      <c r="D310" s="447" t="s">
        <v>142</v>
      </c>
      <c r="E310" s="447"/>
      <c r="F310" s="447"/>
      <c r="G310" s="178"/>
      <c r="H310" s="763" t="s">
        <v>35</v>
      </c>
      <c r="I310" s="269">
        <f ca="1">IFERROR(__xludf.DUMMYFUNCTION("IMPORTRANGE(""https://docs.google.com/spreadsheets/d/1QqKyyYR6Q21VydFLVH3TRQUabQu_ym0Zz7PgGX0-kHA/edit?usp=sharing"",""แผน!ED76"")"),20)</f>
        <v>20</v>
      </c>
      <c r="J310" s="214">
        <v>20</v>
      </c>
      <c r="K310" s="497">
        <f ca="1">IF(I310&gt;0,J310*100/I310,0)</f>
        <v>100</v>
      </c>
      <c r="L310" s="497"/>
      <c r="M310" s="497"/>
      <c r="N310" s="497"/>
      <c r="O310" s="497"/>
      <c r="P310" s="497"/>
    </row>
    <row r="311" spans="1:26" ht="18.75">
      <c r="A311" s="169"/>
      <c r="B311" s="170"/>
      <c r="C311" s="170"/>
      <c r="D311" s="447" t="s">
        <v>59</v>
      </c>
      <c r="E311" s="447"/>
      <c r="F311" s="447"/>
      <c r="G311" s="178"/>
      <c r="H311" s="763" t="s">
        <v>35</v>
      </c>
      <c r="I311" s="269">
        <f ca="1">IFERROR(__xludf.DUMMYFUNCTION("IMPORTRANGE(""https://docs.google.com/spreadsheets/d/1QqKyyYR6Q21VydFLVH3TRQUabQu_ym0Zz7PgGX0-kHA/edit?usp=sharing"",""แผน!ED76"")"),20)</f>
        <v>20</v>
      </c>
      <c r="J311" s="214">
        <v>20</v>
      </c>
      <c r="K311" s="497">
        <f ca="1">IF(I311&gt;0,J311*100/I311,0)</f>
        <v>100</v>
      </c>
      <c r="L311" s="497"/>
      <c r="M311" s="497"/>
      <c r="N311" s="497"/>
      <c r="O311" s="497"/>
      <c r="P311" s="497"/>
    </row>
    <row r="312" spans="1:26" ht="18.75">
      <c r="A312" s="169"/>
      <c r="B312" s="170"/>
      <c r="C312" s="170"/>
      <c r="D312" s="447" t="s">
        <v>143</v>
      </c>
      <c r="E312" s="447"/>
      <c r="F312" s="447"/>
      <c r="G312" s="178"/>
      <c r="H312" s="763" t="s">
        <v>35</v>
      </c>
      <c r="I312" s="269">
        <f ca="1">IFERROR(__xludf.DUMMYFUNCTION("IMPORTRANGE(""https://docs.google.com/spreadsheets/d/1QqKyyYR6Q21VydFLVH3TRQUabQu_ym0Zz7PgGX0-kHA/edit?usp=sharing"",""แผน!EE76"")"),4)</f>
        <v>4</v>
      </c>
      <c r="J312" s="214">
        <v>4</v>
      </c>
      <c r="K312" s="497">
        <f ca="1">IF(I312&gt;0,J312*100/I312,0)</f>
        <v>100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1</v>
      </c>
      <c r="J314" s="444">
        <f>J325</f>
        <v>1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6"/>
      <c r="B315" s="147"/>
      <c r="C315" s="148" t="s">
        <v>16</v>
      </c>
      <c r="D315" s="846" t="s">
        <v>17</v>
      </c>
      <c r="E315" s="147"/>
      <c r="F315" s="147"/>
      <c r="G315" s="150"/>
      <c r="H315" s="151" t="s">
        <v>12</v>
      </c>
      <c r="I315" s="420"/>
      <c r="J315" s="420"/>
      <c r="K315" s="153"/>
      <c r="L315" s="154">
        <f ca="1">L316+L317</f>
        <v>153000</v>
      </c>
      <c r="M315" s="154">
        <f ca="1">M316+M317</f>
        <v>153000</v>
      </c>
      <c r="N315" s="154">
        <f ca="1">N316+N317</f>
        <v>153000</v>
      </c>
      <c r="O315" s="154">
        <f t="shared" ref="O315:O323" ca="1" si="53">IF(L315&gt;0,N315*100/L315,0)</f>
        <v>100</v>
      </c>
      <c r="P315" s="154">
        <f t="shared" ref="P315:P323" ca="1" si="54">IF(M315&gt;0,N315*100/M315,0)</f>
        <v>100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6"/>
      <c r="J316" s="616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6"/>
      <c r="J317" s="616"/>
      <c r="K317" s="92"/>
      <c r="L317" s="92">
        <f t="shared" ca="1" si="55"/>
        <v>153000</v>
      </c>
      <c r="M317" s="92">
        <f t="shared" ca="1" si="55"/>
        <v>153000</v>
      </c>
      <c r="N317" s="92">
        <f t="shared" ca="1" si="55"/>
        <v>153000</v>
      </c>
      <c r="O317" s="92">
        <f t="shared" ca="1" si="53"/>
        <v>100</v>
      </c>
      <c r="P317" s="92">
        <f t="shared" ca="1" si="54"/>
        <v>100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153000</v>
      </c>
      <c r="M318" s="497">
        <f ca="1">M319+M320</f>
        <v>153000</v>
      </c>
      <c r="N318" s="497">
        <f ca="1">N319+N320</f>
        <v>153000</v>
      </c>
      <c r="O318" s="497">
        <f t="shared" ca="1" si="53"/>
        <v>100</v>
      </c>
      <c r="P318" s="497">
        <f t="shared" ca="1" si="54"/>
        <v>100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IFERROR(__xludf.DUMMYFUNCTION("IMPORTRANGE(""https://docs.google.com/spreadsheets/d/1MeEWN-I1oV_STSDYn1IFDPWt_1FKiwhDph83XaGc0o0/edit?usp=sharing"",""งบพรบ!EC76"")"),153000)</f>
        <v>153000</v>
      </c>
      <c r="M320" s="92">
        <f ca="1">IFERROR(__xludf.DUMMYFUNCTION("IMPORTRANGE(""https://docs.google.com/spreadsheets/d/1MeEWN-I1oV_STSDYn1IFDPWt_1FKiwhDph83XaGc0o0/edit?usp=sharing"",""งบพรบ!EH76"")"),153000)</f>
        <v>153000</v>
      </c>
      <c r="N320" s="92">
        <f ca="1">IFERROR(__xludf.DUMMYFUNCTION("IMPORTRANGE(""https://docs.google.com/spreadsheets/d/1MeEWN-I1oV_STSDYn1IFDPWt_1FKiwhDph83XaGc0o0/edit?usp=sharing"",""งบพรบ!EJ76"")"),153000)</f>
        <v>153000</v>
      </c>
      <c r="O320" s="92">
        <f t="shared" ca="1" si="53"/>
        <v>100</v>
      </c>
      <c r="P320" s="92">
        <f t="shared" ca="1" si="54"/>
        <v>100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IFERROR(__xludf.DUMMYFUNCTION("IMPORTRANGE(""https://docs.google.com/spreadsheets/d/1MeEWN-I1oV_STSDYn1IFDPWt_1FKiwhDph83XaGc0o0/edit?usp=sharing"",""งบพรบ!EF76"")"),0)</f>
        <v>0</v>
      </c>
      <c r="M323" s="92">
        <f ca="1">IFERROR(__xludf.DUMMYFUNCTION("IMPORTRANGE(""https://docs.google.com/spreadsheets/d/1MeEWN-I1oV_STSDYn1IFDPWt_1FKiwhDph83XaGc0o0/edit?usp=sharing"",""งบพรบ!EI76"")"),0)</f>
        <v>0</v>
      </c>
      <c r="N323" s="92">
        <f ca="1">IFERROR(__xludf.DUMMYFUNCTION("IMPORTRANGE(""https://docs.google.com/spreadsheets/d/1MeEWN-I1oV_STSDYn1IFDPWt_1FKiwhDph83XaGc0o0/edit?usp=sharing"",""งบพรบ!EK76"")"),0)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>
      <c r="A324" s="169"/>
      <c r="B324" s="170"/>
      <c r="C324" s="163" t="s">
        <v>16</v>
      </c>
      <c r="D324" s="847" t="s">
        <v>38</v>
      </c>
      <c r="E324" s="172"/>
      <c r="F324" s="172"/>
      <c r="G324" s="173"/>
      <c r="H324" s="761"/>
      <c r="I324" s="183"/>
      <c r="J324" s="269"/>
      <c r="K324" s="497"/>
      <c r="L324" s="497"/>
      <c r="M324" s="497"/>
      <c r="N324" s="497"/>
      <c r="O324" s="162"/>
      <c r="P324" s="162"/>
    </row>
    <row r="325" spans="1:26" ht="18.75">
      <c r="A325" s="169"/>
      <c r="B325" s="170"/>
      <c r="C325" s="170"/>
      <c r="D325" s="175" t="s">
        <v>147</v>
      </c>
      <c r="E325" s="177"/>
      <c r="F325" s="447"/>
      <c r="G325" s="178"/>
      <c r="H325" s="622" t="s">
        <v>146</v>
      </c>
      <c r="I325" s="269">
        <f ca="1">IFERROR(__xludf.DUMMYFUNCTION("IMPORTRANGE(""https://docs.google.com/spreadsheets/d/1QqKyyYR6Q21VydFLVH3TRQUabQu_ym0Zz7PgGX0-kHA/edit?usp=sharing"",""แผน!EF76"")"),1)</f>
        <v>1</v>
      </c>
      <c r="J325" s="214">
        <v>1</v>
      </c>
      <c r="K325" s="497">
        <f ca="1">IF(I325&gt;0,J325*100/I325,0)</f>
        <v>100</v>
      </c>
      <c r="L325" s="497"/>
      <c r="M325" s="497"/>
      <c r="N325" s="497"/>
      <c r="O325" s="162"/>
      <c r="P325" s="162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IFERROR(__xludf.DUMMYFUNCTION("IMPORTRANGE(""https://docs.google.com/spreadsheets/d/1QqKyyYR6Q21VydFLVH3TRQUabQu_ym0Zz7PgGX0-kHA/edit?usp=sharing"",""แผน!EG76"")"),3100)</f>
        <v>3100</v>
      </c>
      <c r="J327" s="444">
        <f ca="1">J338+J341+J342+J343</f>
        <v>6248</v>
      </c>
      <c r="K327" s="445">
        <f ca="1">IF(I327&gt;0,J327*100/I327,0)</f>
        <v>201.54838709677421</v>
      </c>
      <c r="L327" s="446"/>
      <c r="M327" s="446"/>
      <c r="N327" s="446"/>
      <c r="O327" s="446"/>
      <c r="P327" s="446"/>
    </row>
    <row r="328" spans="1:26" ht="19.5">
      <c r="A328" s="146"/>
      <c r="B328" s="147"/>
      <c r="C328" s="148" t="s">
        <v>16</v>
      </c>
      <c r="D328" s="846" t="s">
        <v>17</v>
      </c>
      <c r="E328" s="147"/>
      <c r="F328" s="147"/>
      <c r="G328" s="150"/>
      <c r="H328" s="151" t="s">
        <v>12</v>
      </c>
      <c r="I328" s="420"/>
      <c r="J328" s="420"/>
      <c r="K328" s="153"/>
      <c r="L328" s="154">
        <f ca="1">L329+L330</f>
        <v>173000</v>
      </c>
      <c r="M328" s="154">
        <f ca="1">M329+M330</f>
        <v>175500</v>
      </c>
      <c r="N328" s="154">
        <f ca="1">N329+N330</f>
        <v>175500</v>
      </c>
      <c r="O328" s="154">
        <f t="shared" ref="O328:O336" ca="1" si="56">IF(L328&gt;0,N328*100/L328,0)</f>
        <v>101.44508670520231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6"/>
      <c r="J329" s="616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6"/>
      <c r="J330" s="616"/>
      <c r="K330" s="92"/>
      <c r="L330" s="92">
        <f t="shared" ca="1" si="58"/>
        <v>173000</v>
      </c>
      <c r="M330" s="92">
        <f t="shared" ca="1" si="58"/>
        <v>175500</v>
      </c>
      <c r="N330" s="92">
        <f t="shared" ca="1" si="58"/>
        <v>175500</v>
      </c>
      <c r="O330" s="92">
        <f t="shared" ca="1" si="56"/>
        <v>101.44508670520231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173000</v>
      </c>
      <c r="M331" s="497">
        <f ca="1">M332+M333</f>
        <v>175500</v>
      </c>
      <c r="N331" s="497">
        <f ca="1">N332+N333</f>
        <v>175500</v>
      </c>
      <c r="O331" s="497">
        <f t="shared" ca="1" si="56"/>
        <v>101.44508670520231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IFERROR(__xludf.DUMMYFUNCTION("IMPORTRANGE(""https://docs.google.com/spreadsheets/d/1MeEWN-I1oV_STSDYn1IFDPWt_1FKiwhDph83XaGc0o0/edit?usp=sharing"",""งบพรบ!EM76"")"),173000)</f>
        <v>173000</v>
      </c>
      <c r="M333" s="92">
        <f ca="1">IFERROR(__xludf.DUMMYFUNCTION("IMPORTRANGE(""https://docs.google.com/spreadsheets/d/1MeEWN-I1oV_STSDYn1IFDPWt_1FKiwhDph83XaGc0o0/edit?usp=sharing"",""งบพรบ!ER76"")"),175500)</f>
        <v>175500</v>
      </c>
      <c r="N333" s="92">
        <f ca="1">IFERROR(__xludf.DUMMYFUNCTION("IMPORTRANGE(""https://docs.google.com/spreadsheets/d/1MeEWN-I1oV_STSDYn1IFDPWt_1FKiwhDph83XaGc0o0/edit?usp=sharing"",""งบพรบ!ET76"")"),175500)</f>
        <v>175500</v>
      </c>
      <c r="O333" s="92">
        <f t="shared" ca="1" si="56"/>
        <v>101.44508670520231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IFERROR(__xludf.DUMMYFUNCTION("IMPORTRANGE(""https://docs.google.com/spreadsheets/d/1MeEWN-I1oV_STSDYn1IFDPWt_1FKiwhDph83XaGc0o0/edit?usp=sharing"",""งบพรบ!EP76"")"),0)</f>
        <v>0</v>
      </c>
      <c r="M336" s="92">
        <f ca="1">IFERROR(__xludf.DUMMYFUNCTION("IMPORTRANGE(""https://docs.google.com/spreadsheets/d/1MeEWN-I1oV_STSDYn1IFDPWt_1FKiwhDph83XaGc0o0/edit?usp=sharing"",""งบพรบ!ES76"")"),0)</f>
        <v>0</v>
      </c>
      <c r="N336" s="92">
        <f ca="1">IFERROR(__xludf.DUMMYFUNCTION("IMPORTRANGE(""https://docs.google.com/spreadsheets/d/1MeEWN-I1oV_STSDYn1IFDPWt_1FKiwhDph83XaGc0o0/edit?usp=sharing"",""งบพรบ!EU76"")"),0)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4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61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3"/>
      <c r="B338" s="32"/>
      <c r="C338" s="280"/>
      <c r="D338" s="447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IFERROR(__xludf.DUMMYFUNCTION("IMPORTRANGE(""https://docs.google.com/spreadsheets/d/1QqKyyYR6Q21VydFLVH3TRQUabQu_ym0Zz7PgGX0-kHA/edit?usp=sharing"",""แผน!EG76"")"),3100)</f>
        <v>3100</v>
      </c>
      <c r="J338" s="269">
        <f ca="1">IFERROR(__xludf.DUMMYFUNCTION("IMPORTRANGE(""https://docs.google.com/spreadsheets/d/1kVcqe37tkHyjCSG3S0O1AXqVkqjo8mSIZil3BcpIysc/edit?usp=sharing"",""ศูนย์!D76"")"),6112)</f>
        <v>6112</v>
      </c>
      <c r="K338" s="497">
        <f ca="1">IF(I338&gt;0,J338*100/I338,0)</f>
        <v>197.16129032258064</v>
      </c>
      <c r="L338" s="497"/>
      <c r="M338" s="497"/>
      <c r="N338" s="497"/>
      <c r="O338" s="497"/>
      <c r="P338" s="497"/>
    </row>
    <row r="339" spans="1:26" ht="18.75">
      <c r="A339" s="283"/>
      <c r="B339" s="32"/>
      <c r="C339" s="280"/>
      <c r="D339" s="447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3"/>
      <c r="B340" s="32"/>
      <c r="C340" s="280"/>
      <c r="D340" s="177"/>
      <c r="E340" s="447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IFERROR(__xludf.DUMMYFUNCTION("IMPORTRANGE(""https://docs.google.com/spreadsheets/d/1QqKyyYR6Q21VydFLVH3TRQUabQu_ym0Zz7PgGX0-kHA/edit?usp=sharing"",""แผน!EH76"")"),5)</f>
        <v>5</v>
      </c>
      <c r="J340" s="269">
        <f ca="1">IFERROR(__xludf.DUMMYFUNCTION("IMPORTRANGE(""https://docs.google.com/spreadsheets/d/1kVcqe37tkHyjCSG3S0O1AXqVkqjo8mSIZil3BcpIysc/edit?usp=sharing"",""ศูนย์!E76"")"),5)</f>
        <v>5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3"/>
      <c r="B341" s="32"/>
      <c r="C341" s="280"/>
      <c r="D341" s="177"/>
      <c r="E341" s="447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IFERROR(__xludf.DUMMYFUNCTION("IMPORTRANGE(""https://docs.google.com/spreadsheets/d/1kVcqe37tkHyjCSG3S0O1AXqVkqjo8mSIZil3BcpIysc/edit?usp=sharing"",""ศูนย์!F76"")"),97)</f>
        <v>97</v>
      </c>
      <c r="K341" s="497"/>
      <c r="L341" s="497"/>
      <c r="M341" s="497"/>
      <c r="N341" s="497"/>
      <c r="O341" s="497"/>
      <c r="P341" s="497"/>
    </row>
    <row r="342" spans="1:26" ht="18.75">
      <c r="A342" s="283"/>
      <c r="B342" s="32"/>
      <c r="C342" s="280"/>
      <c r="D342" s="447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IFERROR(__xludf.DUMMYFUNCTION("IMPORTRANGE(""https://docs.google.com/spreadsheets/d/1kVcqe37tkHyjCSG3S0O1AXqVkqjo8mSIZil3BcpIysc/edit?usp=sharing"",""ศูนย์!G76"")"),39)</f>
        <v>39</v>
      </c>
      <c r="K342" s="497"/>
      <c r="L342" s="497"/>
      <c r="M342" s="497"/>
      <c r="N342" s="497"/>
      <c r="O342" s="497"/>
      <c r="P342" s="497"/>
    </row>
    <row r="343" spans="1:26" ht="18.75">
      <c r="A343" s="283"/>
      <c r="B343" s="32"/>
      <c r="C343" s="280"/>
      <c r="D343" s="447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IFERROR(__xludf.DUMMYFUNCTION("IMPORTRANGE(""https://docs.google.com/spreadsheets/d/1kVcqe37tkHyjCSG3S0O1AXqVkqjo8mSIZil3BcpIysc/edit?usp=sharing"",""ศูนย์!H76"")"),0)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6"/>
      <c r="B345" s="147"/>
      <c r="C345" s="148" t="s">
        <v>16</v>
      </c>
      <c r="D345" s="846" t="s">
        <v>17</v>
      </c>
      <c r="E345" s="147"/>
      <c r="F345" s="147"/>
      <c r="G345" s="150"/>
      <c r="H345" s="151" t="s">
        <v>12</v>
      </c>
      <c r="I345" s="420"/>
      <c r="J345" s="420"/>
      <c r="K345" s="153"/>
      <c r="L345" s="154">
        <f ca="1">L346+L347</f>
        <v>768060</v>
      </c>
      <c r="M345" s="154">
        <f ca="1">M346+M347</f>
        <v>1011240</v>
      </c>
      <c r="N345" s="154">
        <f ca="1">N346+N347</f>
        <v>1011240</v>
      </c>
      <c r="O345" s="154">
        <f t="shared" ref="O345:O353" ca="1" si="59">IF(L345&gt;0,N345*100/L345,0)</f>
        <v>131.66158893836419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6"/>
      <c r="J346" s="616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6"/>
      <c r="J347" s="616"/>
      <c r="K347" s="92"/>
      <c r="L347" s="92">
        <f t="shared" ca="1" si="61"/>
        <v>768060</v>
      </c>
      <c r="M347" s="92">
        <f t="shared" ca="1" si="61"/>
        <v>1011240</v>
      </c>
      <c r="N347" s="92">
        <f t="shared" ca="1" si="61"/>
        <v>1011240</v>
      </c>
      <c r="O347" s="92">
        <f t="shared" ca="1" si="59"/>
        <v>131.66158893836419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566060</v>
      </c>
      <c r="M348" s="497">
        <f ca="1">M349+M350</f>
        <v>809240</v>
      </c>
      <c r="N348" s="497">
        <f ca="1">N349+N350</f>
        <v>809240</v>
      </c>
      <c r="O348" s="497">
        <f t="shared" ca="1" si="59"/>
        <v>142.96011023566408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IFERROR(__xludf.DUMMYFUNCTION("IMPORTRANGE(""https://docs.google.com/spreadsheets/d/1MeEWN-I1oV_STSDYn1IFDPWt_1FKiwhDph83XaGc0o0/edit?usp=sharing"",""งบพรบ!EW76"")"),566060)</f>
        <v>566060</v>
      </c>
      <c r="M350" s="92">
        <f ca="1">IFERROR(__xludf.DUMMYFUNCTION("IMPORTRANGE(""https://docs.google.com/spreadsheets/d/1MeEWN-I1oV_STSDYn1IFDPWt_1FKiwhDph83XaGc0o0/edit?usp=sharing"",""งบพรบ!FB76"")"),809240)</f>
        <v>809240</v>
      </c>
      <c r="N350" s="92">
        <f ca="1">IFERROR(__xludf.DUMMYFUNCTION("IMPORTRANGE(""https://docs.google.com/spreadsheets/d/1MeEWN-I1oV_STSDYn1IFDPWt_1FKiwhDph83XaGc0o0/edit?usp=sharing"",""งบพรบ!FD76"")"),809240)</f>
        <v>809240</v>
      </c>
      <c r="O350" s="92">
        <f t="shared" ca="1" si="59"/>
        <v>142.96011023566408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202000</v>
      </c>
      <c r="M351" s="497">
        <f ca="1">M352+M353</f>
        <v>202000</v>
      </c>
      <c r="N351" s="497">
        <f ca="1">N352+N353</f>
        <v>202000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IFERROR(__xludf.DUMMYFUNCTION("IMPORTRANGE(""https://docs.google.com/spreadsheets/d/1MeEWN-I1oV_STSDYn1IFDPWt_1FKiwhDph83XaGc0o0/edit?usp=sharing"",""งบพรบ!EZ76"")"),202000)</f>
        <v>202000</v>
      </c>
      <c r="M353" s="92">
        <f ca="1">IFERROR(__xludf.DUMMYFUNCTION("IMPORTRANGE(""https://docs.google.com/spreadsheets/d/1MeEWN-I1oV_STSDYn1IFDPWt_1FKiwhDph83XaGc0o0/edit?usp=sharing"",""งบพรบ!FC76"")"),202000)</f>
        <v>202000</v>
      </c>
      <c r="N353" s="92">
        <f ca="1">IFERROR(__xludf.DUMMYFUNCTION("IMPORTRANGE(""https://docs.google.com/spreadsheets/d/1MeEWN-I1oV_STSDYn1IFDPWt_1FKiwhDph83XaGc0o0/edit?usp=sharing"",""งบพรบ!FE76"")"),202000)</f>
        <v>202000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1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IFERROR(__xludf.DUMMYFUNCTION("IMPORTRANGE(""https://docs.google.com/spreadsheets/d/1QqKyyYR6Q21VydFLVH3TRQUabQu_ym0Zz7PgGX0-kHA/edit?usp=sharing"",""แผน!EP76"")"),280)</f>
        <v>280</v>
      </c>
      <c r="J355" s="464">
        <f ca="1">J362</f>
        <v>172</v>
      </c>
      <c r="K355" s="465">
        <f ca="1">IF(I355&gt;0,J355*100/I355,0)</f>
        <v>61.428571428571431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47" t="s">
        <v>38</v>
      </c>
      <c r="E357" s="172"/>
      <c r="F357" s="172"/>
      <c r="G357" s="173"/>
      <c r="H357" s="761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IFERROR(__xludf.DUMMYFUNCTION("IMPORTRANGE(""https://docs.google.com/spreadsheets/d/1XWAQStnk-4SwqDmLtmXYiTMKHgktTP8We1SCoS47DrQ/edit?usp=sharing"",""จัดที่ดิน!W76"")"),334)</f>
        <v>334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IFERROR(__xludf.DUMMYFUNCTION("IMPORTRANGE(""https://docs.google.com/spreadsheets/d/1QqKyyYR6Q21VydFLVH3TRQUabQu_ym0Zz7PgGX0-kHA/edit?usp=sharing"",""แผน!EO76"")"),2500)</f>
        <v>2500</v>
      </c>
      <c r="J359" s="269">
        <f ca="1">IFERROR(__xludf.DUMMYFUNCTION("IMPORTRANGE(""https://docs.google.com/spreadsheets/d/1XWAQStnk-4SwqDmLtmXYiTMKHgktTP8We1SCoS47DrQ/edit?usp=sharing"",""จัดที่ดิน!X76"")"),3171.39)</f>
        <v>3171.39</v>
      </c>
      <c r="K359" s="497">
        <f t="shared" ca="1" si="62"/>
        <v>126.8556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63" t="s">
        <v>35</v>
      </c>
      <c r="I360" s="269">
        <f ca="1">IFERROR(__xludf.DUMMYFUNCTION("IMPORTRANGE(""https://docs.google.com/spreadsheets/d/1QqKyyYR6Q21VydFLVH3TRQUabQu_ym0Zz7PgGX0-kHA/edit?usp=sharing"",""แผน!EP76"")"),280)</f>
        <v>280</v>
      </c>
      <c r="J360" s="269">
        <f ca="1">IFERROR(__xludf.DUMMYFUNCTION("IMPORTRANGE(""https://docs.google.com/spreadsheets/d/1XWAQStnk-4SwqDmLtmXYiTMKHgktTP8We1SCoS47DrQ/edit?usp=sharing"",""จัดที่ดิน!Y76"")"),298)</f>
        <v>298</v>
      </c>
      <c r="K360" s="497">
        <f t="shared" ca="1" si="62"/>
        <v>106.42857142857143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63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IFERROR(__xludf.DUMMYFUNCTION("IMPORTRANGE(""https://docs.google.com/spreadsheets/d/1XWAQStnk-4SwqDmLtmXYiTMKHgktTP8We1SCoS47DrQ/edit?usp=sharing"",""จัดที่ดิน!Z76"")"),2812.1)</f>
        <v>2812.1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63" t="s">
        <v>35</v>
      </c>
      <c r="I362" s="269">
        <f ca="1">IFERROR(__xludf.DUMMYFUNCTION("IMPORTRANGE(""https://docs.google.com/spreadsheets/d/1QqKyyYR6Q21VydFLVH3TRQUabQu_ym0Zz7PgGX0-kHA/edit?usp=sharing"",""แผน!EP76"")"),280)</f>
        <v>280</v>
      </c>
      <c r="J362" s="269">
        <f ca="1">IFERROR(__xludf.DUMMYFUNCTION("IMPORTRANGE(""https://docs.google.com/spreadsheets/d/1XWAQStnk-4SwqDmLtmXYiTMKHgktTP8We1SCoS47DrQ/edit?usp=sharing"",""จัดที่ดิน!AA76"")"),172)</f>
        <v>172</v>
      </c>
      <c r="K362" s="497">
        <f t="shared" ca="1" si="62"/>
        <v>61.428571428571431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7"/>
      <c r="F363" s="177"/>
      <c r="G363" s="178"/>
      <c r="H363" s="763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IFERROR(__xludf.DUMMYFUNCTION("IMPORTRANGE(""https://docs.google.com/spreadsheets/d/1XWAQStnk-4SwqDmLtmXYiTMKHgktTP8We1SCoS47DrQ/edit?usp=sharing"",""จัดที่ดิน!AB76"")"),1440.12)</f>
        <v>1440.12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670</v>
      </c>
      <c r="J364" s="478">
        <f ca="1">J365+J374</f>
        <v>710</v>
      </c>
      <c r="K364" s="479">
        <f t="shared" ca="1" si="62"/>
        <v>105.97014925373135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IFERROR(__xludf.DUMMYFUNCTION("IMPORTRANGE(""https://docs.google.com/spreadsheets/d/1QqKyyYR6Q21VydFLVH3TRQUabQu_ym0Zz7PgGX0-kHA/edit?usp=sharing"",""แผน!EJ76"")"),100)</f>
        <v>100</v>
      </c>
      <c r="J365" s="490">
        <f ca="1">J372</f>
        <v>75</v>
      </c>
      <c r="K365" s="491">
        <f t="shared" ca="1" si="62"/>
        <v>75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47" t="s">
        <v>38</v>
      </c>
      <c r="E367" s="172"/>
      <c r="F367" s="172"/>
      <c r="G367" s="173"/>
      <c r="H367" s="761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IFERROR(__xludf.DUMMYFUNCTION("IMPORTRANGE(""https://docs.google.com/spreadsheets/d/1XWAQStnk-4SwqDmLtmXYiTMKHgktTP8We1SCoS47DrQ/edit?usp=sharing"",""จัดที่ดิน!E76"")"),107)</f>
        <v>107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IFERROR(__xludf.DUMMYFUNCTION("IMPORTRANGE(""https://docs.google.com/spreadsheets/d/1QqKyyYR6Q21VydFLVH3TRQUabQu_ym0Zz7PgGX0-kHA/edit?usp=sharing"",""แผน!EI76"")"),1000)</f>
        <v>1000</v>
      </c>
      <c r="J369" s="269">
        <f ca="1">IFERROR(__xludf.DUMMYFUNCTION("IMPORTRANGE(""https://docs.google.com/spreadsheets/d/1XWAQStnk-4SwqDmLtmXYiTMKHgktTP8We1SCoS47DrQ/edit?usp=sharing"",""จัดที่ดิน!F76"")"),979.02)</f>
        <v>979.02</v>
      </c>
      <c r="K369" s="497">
        <f t="shared" ca="1" si="63"/>
        <v>97.902000000000001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63" t="s">
        <v>35</v>
      </c>
      <c r="I370" s="269">
        <f ca="1">IFERROR(__xludf.DUMMYFUNCTION("IMPORTRANGE(""https://docs.google.com/spreadsheets/d/1QqKyyYR6Q21VydFLVH3TRQUabQu_ym0Zz7PgGX0-kHA/edit?usp=sharing"",""แผน!EJ76"")"),100)</f>
        <v>100</v>
      </c>
      <c r="J370" s="269">
        <f ca="1">IFERROR(__xludf.DUMMYFUNCTION("IMPORTRANGE(""https://docs.google.com/spreadsheets/d/1XWAQStnk-4SwqDmLtmXYiTMKHgktTP8We1SCoS47DrQ/edit?usp=sharing"",""จัดที่ดิน!G76"")"),84)</f>
        <v>84</v>
      </c>
      <c r="K370" s="497">
        <f t="shared" ca="1" si="63"/>
        <v>84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63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IFERROR(__xludf.DUMMYFUNCTION("IMPORTRANGE(""https://docs.google.com/spreadsheets/d/1XWAQStnk-4SwqDmLtmXYiTMKHgktTP8We1SCoS47DrQ/edit?usp=sharing"",""จัดที่ดิน!H76"")"),789.12)</f>
        <v>789.12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63" t="s">
        <v>35</v>
      </c>
      <c r="I372" s="269">
        <f ca="1">IFERROR(__xludf.DUMMYFUNCTION("IMPORTRANGE(""https://docs.google.com/spreadsheets/d/1QqKyyYR6Q21VydFLVH3TRQUabQu_ym0Zz7PgGX0-kHA/edit?usp=sharing"",""แผน!EJ76"")"),100)</f>
        <v>100</v>
      </c>
      <c r="J372" s="269">
        <f ca="1">IFERROR(__xludf.DUMMYFUNCTION("IMPORTRANGE(""https://docs.google.com/spreadsheets/d/1XWAQStnk-4SwqDmLtmXYiTMKHgktTP8We1SCoS47DrQ/edit?usp=sharing"",""จัดที่ดิน!I76"")"),75)</f>
        <v>75</v>
      </c>
      <c r="K372" s="497">
        <f t="shared" ca="1" si="63"/>
        <v>75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7"/>
      <c r="C373" s="170"/>
      <c r="D373" s="177"/>
      <c r="E373" s="447"/>
      <c r="F373" s="177"/>
      <c r="G373" s="178"/>
      <c r="H373" s="763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IFERROR(__xludf.DUMMYFUNCTION("IMPORTRANGE(""https://docs.google.com/spreadsheets/d/1XWAQStnk-4SwqDmLtmXYiTMKHgktTP8We1SCoS47DrQ/edit?usp=sharing"",""จัดที่ดิน!J76"")"),623.76)</f>
        <v>623.76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IFERROR(__xludf.DUMMYFUNCTION("IMPORTRANGE(""https://docs.google.com/spreadsheets/d/1QqKyyYR6Q21VydFLVH3TRQUabQu_ym0Zz7PgGX0-kHA/edit?usp=sharing"",""แผน!EU76"")"),570)</f>
        <v>570</v>
      </c>
      <c r="J374" s="490">
        <f ca="1">J381</f>
        <v>635</v>
      </c>
      <c r="K374" s="491">
        <f t="shared" ca="1" si="63"/>
        <v>111.40350877192982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47" t="s">
        <v>38</v>
      </c>
      <c r="E376" s="172"/>
      <c r="F376" s="172"/>
      <c r="G376" s="173"/>
      <c r="H376" s="761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IFERROR(__xludf.DUMMYFUNCTION("IMPORTRANGE(""https://docs.google.com/spreadsheets/d/1XWAQStnk-4SwqDmLtmXYiTMKHgktTP8We1SCoS47DrQ/edit?usp=sharing"",""จัดที่ดิน!AH76"")"),227)</f>
        <v>227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IFERROR(__xludf.DUMMYFUNCTION("IMPORTRANGE(""https://docs.google.com/spreadsheets/d/1QqKyyYR6Q21VydFLVH3TRQUabQu_ym0Zz7PgGX0-kHA/edit?usp=sharing"",""แผน!ET76"")"),1500)</f>
        <v>1500</v>
      </c>
      <c r="J378" s="269">
        <f ca="1">IFERROR(__xludf.DUMMYFUNCTION("IMPORTRANGE(""https://docs.google.com/spreadsheets/d/1XWAQStnk-4SwqDmLtmXYiTMKHgktTP8We1SCoS47DrQ/edit?usp=sharing"",""จัดที่ดิน!AI76"")"),2192.37)</f>
        <v>2192.37</v>
      </c>
      <c r="K378" s="497">
        <f t="shared" ca="1" si="64"/>
        <v>146.15799999999999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63" t="s">
        <v>35</v>
      </c>
      <c r="I379" s="269">
        <f ca="1">IFERROR(__xludf.DUMMYFUNCTION("IMPORTRANGE(""https://docs.google.com/spreadsheets/d/1QqKyyYR6Q21VydFLVH3TRQUabQu_ym0Zz7PgGX0-kHA/edit?usp=sharing"",""แผน!EU76"")"),570)</f>
        <v>570</v>
      </c>
      <c r="J379" s="269">
        <f ca="1">IFERROR(__xludf.DUMMYFUNCTION("IMPORTRANGE(""https://docs.google.com/spreadsheets/d/1XWAQStnk-4SwqDmLtmXYiTMKHgktTP8We1SCoS47DrQ/edit?usp=sharing"",""จัดที่ดิน!AJ76"")"),754)</f>
        <v>754</v>
      </c>
      <c r="K379" s="497">
        <f t="shared" ca="1" si="64"/>
        <v>132.28070175438597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63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IFERROR(__xludf.DUMMYFUNCTION("IMPORTRANGE(""https://docs.google.com/spreadsheets/d/1XWAQStnk-4SwqDmLtmXYiTMKHgktTP8We1SCoS47DrQ/edit?usp=sharing"",""จัดที่ดิน!AK76"")"),9592.41)</f>
        <v>9592.41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63" t="s">
        <v>35</v>
      </c>
      <c r="I381" s="269">
        <f ca="1">IFERROR(__xludf.DUMMYFUNCTION("IMPORTRANGE(""https://docs.google.com/spreadsheets/d/1QqKyyYR6Q21VydFLVH3TRQUabQu_ym0Zz7PgGX0-kHA/edit?usp=sharing"",""แผน!EU76"")"),570)</f>
        <v>570</v>
      </c>
      <c r="J381" s="269">
        <f ca="1">IFERROR(__xludf.DUMMYFUNCTION("IMPORTRANGE(""https://docs.google.com/spreadsheets/d/1XWAQStnk-4SwqDmLtmXYiTMKHgktTP8We1SCoS47DrQ/edit?usp=sharing"",""จัดที่ดิน!AL76"")"),635)</f>
        <v>635</v>
      </c>
      <c r="K381" s="497">
        <f t="shared" ca="1" si="64"/>
        <v>111.40350877192982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7"/>
      <c r="C382" s="170"/>
      <c r="D382" s="177"/>
      <c r="E382" s="447"/>
      <c r="F382" s="177"/>
      <c r="G382" s="178"/>
      <c r="H382" s="763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IFERROR(__xludf.DUMMYFUNCTION("IMPORTRANGE(""https://docs.google.com/spreadsheets/d/1XWAQStnk-4SwqDmLtmXYiTMKHgktTP8We1SCoS47DrQ/edit?usp=sharing"",""จัดที่ดิน!AM76"")"),8357.95)</f>
        <v>8357.9500000000007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498"/>
      <c r="B383" s="499"/>
      <c r="C383" s="290"/>
      <c r="D383" s="849" t="s">
        <v>169</v>
      </c>
      <c r="E383" s="290"/>
      <c r="F383" s="290"/>
      <c r="G383" s="501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4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761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503" t="s">
        <v>170</v>
      </c>
      <c r="F385" s="380"/>
      <c r="G385" s="381"/>
      <c r="H385" s="504" t="s">
        <v>35</v>
      </c>
      <c r="I385" s="505">
        <f ca="1">IFERROR(__xludf.DUMMYFUNCTION("IMPORTRANGE(""https://docs.google.com/spreadsheets/d/1QqKyyYR6Q21VydFLVH3TRQUabQu_ym0Zz7PgGX0-kHA/edit?usp=sharing"",""แผน!EW76"")"),55)</f>
        <v>55</v>
      </c>
      <c r="J385" s="505">
        <f ca="1">IFERROR(__xludf.DUMMYFUNCTION("IMPORTRANGE(""https://docs.google.com/spreadsheets/d/1XWAQStnk-4SwqDmLtmXYiTMKHgktTP8We1SCoS47DrQ/edit?usp=sharing"",""จัดที่ดิน!AP76"")"),0)</f>
        <v>0</v>
      </c>
      <c r="K385" s="506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7" t="s">
        <v>171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172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173</v>
      </c>
      <c r="C388" s="522"/>
      <c r="D388" s="523"/>
      <c r="E388" s="523"/>
      <c r="F388" s="523"/>
      <c r="G388" s="524"/>
      <c r="H388" s="525" t="s">
        <v>66</v>
      </c>
      <c r="I388" s="526">
        <f>I400</f>
        <v>0</v>
      </c>
      <c r="J388" s="526">
        <f>J400</f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6"/>
      <c r="B389" s="147"/>
      <c r="C389" s="148" t="s">
        <v>16</v>
      </c>
      <c r="D389" s="846" t="s">
        <v>17</v>
      </c>
      <c r="E389" s="147"/>
      <c r="F389" s="147"/>
      <c r="G389" s="150"/>
      <c r="H389" s="151" t="s">
        <v>12</v>
      </c>
      <c r="I389" s="420"/>
      <c r="J389" s="420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6"/>
      <c r="J390" s="616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6"/>
      <c r="J391" s="616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IFERROR(__xludf.DUMMYFUNCTION("IMPORTRANGE(""https://docs.google.com/spreadsheets/d/1MeEWN-I1oV_STSDYn1IFDPWt_1FKiwhDph83XaGc0o0/edit?usp=sharing"",""งบพรบ!FG76"")"),0)</f>
        <v>0</v>
      </c>
      <c r="M394" s="92">
        <f ca="1">IFERROR(__xludf.DUMMYFUNCTION("IMPORTRANGE(""https://docs.google.com/spreadsheets/d/1MeEWN-I1oV_STSDYn1IFDPWt_1FKiwhDph83XaGc0o0/edit?usp=sharing"",""งบพรบ!FL76"")"),0)</f>
        <v>0</v>
      </c>
      <c r="N394" s="92">
        <f ca="1">IFERROR(__xludf.DUMMYFUNCTION("IMPORTRANGE(""https://docs.google.com/spreadsheets/d/1MeEWN-I1oV_STSDYn1IFDPWt_1FKiwhDph83XaGc0o0/edit?usp=sharing"",""งบพรบ!FN76"")"),0)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IFERROR(__xludf.DUMMYFUNCTION("IMPORTRANGE(""https://docs.google.com/spreadsheets/d/1MeEWN-I1oV_STSDYn1IFDPWt_1FKiwhDph83XaGc0o0/edit?usp=sharing"",""งบพรบ!FJ76"")"),0)</f>
        <v>0</v>
      </c>
      <c r="M397" s="92">
        <f ca="1">IFERROR(__xludf.DUMMYFUNCTION("IMPORTRANGE(""https://docs.google.com/spreadsheets/d/1MeEWN-I1oV_STSDYn1IFDPWt_1FKiwhDph83XaGc0o0/edit?usp=sharing"",""งบพรบ!FM76"")"),0)</f>
        <v>0</v>
      </c>
      <c r="N397" s="92">
        <f ca="1">IFERROR(__xludf.DUMMYFUNCTION("IMPORTRANGE(""https://docs.google.com/spreadsheets/d/1MeEWN-I1oV_STSDYn1IFDPWt_1FKiwhDph83XaGc0o0/edit?usp=sharing"",""งบพรบ!FO76"")"),0)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47" t="s">
        <v>38</v>
      </c>
      <c r="E398" s="172"/>
      <c r="F398" s="172"/>
      <c r="G398" s="173"/>
      <c r="H398" s="761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9"/>
      <c r="B399" s="147"/>
      <c r="C399" s="530"/>
      <c r="D399" s="531" t="s">
        <v>174</v>
      </c>
      <c r="E399" s="415"/>
      <c r="F399" s="147"/>
      <c r="G399" s="150"/>
      <c r="H399" s="532" t="s">
        <v>9</v>
      </c>
      <c r="I399" s="269">
        <v>0</v>
      </c>
      <c r="J399" s="214">
        <v>0</v>
      </c>
      <c r="K399" s="497">
        <f>IF(I399&gt;0,J399*100/I399,0)</f>
        <v>0</v>
      </c>
      <c r="L399" s="533"/>
      <c r="M399" s="533"/>
      <c r="N399" s="533"/>
      <c r="O399" s="533"/>
      <c r="P399" s="533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3"/>
      <c r="B400" s="32"/>
      <c r="C400" s="280"/>
      <c r="D400" s="447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20"/>
      <c r="B401" s="521" t="s">
        <v>176</v>
      </c>
      <c r="C401" s="522"/>
      <c r="D401" s="523"/>
      <c r="E401" s="523"/>
      <c r="F401" s="523"/>
      <c r="G401" s="524"/>
      <c r="H401" s="525" t="s">
        <v>66</v>
      </c>
      <c r="I401" s="526">
        <f>I412</f>
        <v>0</v>
      </c>
      <c r="J401" s="526">
        <f>J412</f>
        <v>0</v>
      </c>
      <c r="K401" s="527">
        <f>IF(I401&gt;0,J401*100/I401,0)</f>
        <v>0</v>
      </c>
      <c r="L401" s="528"/>
      <c r="M401" s="528"/>
      <c r="N401" s="528"/>
      <c r="O401" s="528"/>
      <c r="P401" s="528"/>
    </row>
    <row r="402" spans="1:26" ht="19.5" hidden="1">
      <c r="A402" s="146"/>
      <c r="B402" s="147"/>
      <c r="C402" s="148" t="s">
        <v>16</v>
      </c>
      <c r="D402" s="846" t="s">
        <v>17</v>
      </c>
      <c r="E402" s="147"/>
      <c r="F402" s="147"/>
      <c r="G402" s="150"/>
      <c r="H402" s="151" t="s">
        <v>12</v>
      </c>
      <c r="I402" s="420"/>
      <c r="J402" s="420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6"/>
      <c r="J403" s="616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6"/>
      <c r="J404" s="616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IFERROR(__xludf.DUMMYFUNCTION("IMPORTRANGE(""https://docs.google.com/spreadsheets/d/1MeEWN-I1oV_STSDYn1IFDPWt_1FKiwhDph83XaGc0o0/edit?usp=sharing"",""งบพรบ!FQ76"")"),0)</f>
        <v>0</v>
      </c>
      <c r="M407" s="92">
        <f ca="1">IFERROR(__xludf.DUMMYFUNCTION("IMPORTRANGE(""https://docs.google.com/spreadsheets/d/1MeEWN-I1oV_STSDYn1IFDPWt_1FKiwhDph83XaGc0o0/edit?usp=sharing"",""งบพรบ!FV76"")"),0)</f>
        <v>0</v>
      </c>
      <c r="N407" s="92">
        <f ca="1">IFERROR(__xludf.DUMMYFUNCTION("IMPORTRANGE(""https://docs.google.com/spreadsheets/d/1MeEWN-I1oV_STSDYn1IFDPWt_1FKiwhDph83XaGc0o0/edit?usp=sharing"",""งบพรบ!FX76"")"),0)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IFERROR(__xludf.DUMMYFUNCTION("IMPORTRANGE(""https://docs.google.com/spreadsheets/d/1MeEWN-I1oV_STSDYn1IFDPWt_1FKiwhDph83XaGc0o0/edit?usp=sharing"",""งบพรบ!FT76"")"),0)</f>
        <v>0</v>
      </c>
      <c r="M410" s="92">
        <f ca="1">IFERROR(__xludf.DUMMYFUNCTION("IMPORTRANGE(""https://docs.google.com/spreadsheets/d/1MeEWN-I1oV_STSDYn1IFDPWt_1FKiwhDph83XaGc0o0/edit?usp=sharing"",""งบพรบ!FW76"")"),0)</f>
        <v>0</v>
      </c>
      <c r="N410" s="92">
        <f ca="1">IFERROR(__xludf.DUMMYFUNCTION("IMPORTRANGE(""https://docs.google.com/spreadsheets/d/1MeEWN-I1oV_STSDYn1IFDPWt_1FKiwhDph83XaGc0o0/edit?usp=sharing"",""งบพรบ!FY76"")"),0)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45" t="s">
        <v>38</v>
      </c>
      <c r="E411" s="535"/>
      <c r="F411" s="535"/>
      <c r="G411" s="536"/>
      <c r="H411" s="761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7" t="s">
        <v>177</v>
      </c>
      <c r="E412" s="177"/>
      <c r="F412" s="177"/>
      <c r="G412" s="178"/>
      <c r="H412" s="537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8"/>
      <c r="B413" s="539"/>
      <c r="C413" s="539"/>
      <c r="D413" s="540" t="s">
        <v>178</v>
      </c>
      <c r="E413" s="539"/>
      <c r="F413" s="539"/>
      <c r="G413" s="541"/>
      <c r="H413" s="542" t="s">
        <v>179</v>
      </c>
      <c r="I413" s="543">
        <v>0</v>
      </c>
      <c r="J413" s="544">
        <v>0</v>
      </c>
      <c r="K413" s="545">
        <f>IF(I413&gt;0,J413*100/I413,0)</f>
        <v>0</v>
      </c>
      <c r="L413" s="546"/>
      <c r="M413" s="546"/>
      <c r="N413" s="546"/>
      <c r="O413" s="546"/>
      <c r="P413" s="546"/>
    </row>
    <row r="414" spans="1:26" ht="19.5">
      <c r="A414" s="547" t="s">
        <v>180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ca="1">L419+L444+L467+L502+L523+L544+L629+L655+L685+L737+L754+L770+L786+L805</f>
        <v>2110706</v>
      </c>
      <c r="M414" s="553">
        <f ca="1">M419+M444+M467+M502+M523+M544+M629+M655+M685+M737+M754+M770+M786+M805</f>
        <v>2160196</v>
      </c>
      <c r="N414" s="553">
        <f>N419+N444+N467+N502+N523+N544+N629+N655+N685+N737+N754+N770+N786+N805</f>
        <v>2160196</v>
      </c>
      <c r="O414" s="553">
        <f ca="1">IF(L414&gt;0,N414*100/L414,0)</f>
        <v>102.34471309599726</v>
      </c>
      <c r="P414" s="553">
        <f ca="1">IF(M414&gt;0,N414*100/M414,0)</f>
        <v>100</v>
      </c>
    </row>
    <row r="415" spans="1:26" ht="19.5">
      <c r="A415" s="554" t="s">
        <v>181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182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183</v>
      </c>
      <c r="C417" s="565"/>
      <c r="D417" s="566"/>
      <c r="E417" s="566"/>
      <c r="F417" s="566"/>
      <c r="G417" s="567"/>
      <c r="H417" s="568" t="s">
        <v>35</v>
      </c>
      <c r="I417" s="569">
        <f ca="1">I433</f>
        <v>20</v>
      </c>
      <c r="J417" s="569">
        <f ca="1">J433</f>
        <v>20</v>
      </c>
      <c r="K417" s="570">
        <f ca="1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ca="1">I434</f>
        <v>1</v>
      </c>
      <c r="J418" s="569">
        <f>J434</f>
        <v>1</v>
      </c>
      <c r="K418" s="570">
        <f ca="1">IF(I418&gt;0,J418*100/I418,0)</f>
        <v>100</v>
      </c>
      <c r="L418" s="571"/>
      <c r="M418" s="571"/>
      <c r="N418" s="571"/>
      <c r="O418" s="571"/>
      <c r="P418" s="571"/>
    </row>
    <row r="419" spans="1:26" ht="19.5">
      <c r="A419" s="146"/>
      <c r="B419" s="147"/>
      <c r="C419" s="147" t="s">
        <v>16</v>
      </c>
      <c r="D419" s="910" t="s">
        <v>17</v>
      </c>
      <c r="E419" s="890"/>
      <c r="F419" s="890"/>
      <c r="G419" s="150"/>
      <c r="H419" s="274" t="s">
        <v>12</v>
      </c>
      <c r="I419" s="420"/>
      <c r="J419" s="420"/>
      <c r="K419" s="153"/>
      <c r="L419" s="154">
        <f ca="1">L420+L421</f>
        <v>78760</v>
      </c>
      <c r="M419" s="154">
        <f ca="1">M420+M421</f>
        <v>83760</v>
      </c>
      <c r="N419" s="154">
        <f>N420+N421</f>
        <v>83760</v>
      </c>
      <c r="O419" s="154">
        <f t="shared" ref="O419:O424" ca="1" si="71">IF(L419&gt;0,N419*100/L419,0)</f>
        <v>106.34840020314881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6"/>
      <c r="J420" s="616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6"/>
      <c r="J421" s="616"/>
      <c r="K421" s="92"/>
      <c r="L421" s="92">
        <f t="shared" ca="1" si="73"/>
        <v>78760</v>
      </c>
      <c r="M421" s="92">
        <f t="shared" ca="1" si="73"/>
        <v>83760</v>
      </c>
      <c r="N421" s="92">
        <f t="shared" si="73"/>
        <v>83760</v>
      </c>
      <c r="O421" s="92">
        <f t="shared" ca="1" si="71"/>
        <v>106.34840020314881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78760</v>
      </c>
      <c r="M422" s="497">
        <f ca="1">M423+M424</f>
        <v>83760</v>
      </c>
      <c r="N422" s="497">
        <f>N423+N424</f>
        <v>83760</v>
      </c>
      <c r="O422" s="497">
        <f t="shared" ca="1" si="71"/>
        <v>106.34840020314881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6"/>
      <c r="J423" s="616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6"/>
      <c r="J424" s="616"/>
      <c r="K424" s="92"/>
      <c r="L424" s="92">
        <f ca="1">IFERROR(__xludf.DUMMYFUNCTION("IMPORTRANGE(""https://docs.google.com/spreadsheets/d/1QqKyyYR6Q21VydFLVH3TRQUabQu_ym0Zz7PgGX0-kHA/edit?usp=sharing"",""แผน!EY76"")"),78760)</f>
        <v>78760</v>
      </c>
      <c r="M424" s="92">
        <f ca="1">L424+5000</f>
        <v>83760</v>
      </c>
      <c r="N424" s="92">
        <f>N425+N426+N427+N428</f>
        <v>83760</v>
      </c>
      <c r="O424" s="92">
        <f t="shared" ca="1" si="71"/>
        <v>106.34840020314881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73"/>
      <c r="B425" s="574"/>
      <c r="C425" s="762"/>
      <c r="D425" s="762"/>
      <c r="E425" s="762"/>
      <c r="F425" s="762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826">
        <v>48720</v>
      </c>
      <c r="O425" s="497"/>
      <c r="P425" s="497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826">
        <v>0</v>
      </c>
      <c r="O426" s="497"/>
      <c r="P426" s="497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826">
        <v>0</v>
      </c>
      <c r="O427" s="497"/>
      <c r="P427" s="497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3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826">
        <v>35040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IFERROR(__xludf.DUMMYFUNCTION("IMPORTRANGE(""https://docs.google.com/spreadsheets/d/1QqKyyYR6Q21VydFLVH3TRQUabQu_ym0Zz7PgGX0-kHA/edit?usp=sharing"",""แผน!FB76"")"),0)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4"/>
      <c r="B432" s="415"/>
      <c r="C432" s="147" t="s">
        <v>16</v>
      </c>
      <c r="D432" s="844" t="s">
        <v>38</v>
      </c>
      <c r="E432" s="579"/>
      <c r="F432" s="579"/>
      <c r="G432" s="580"/>
      <c r="H432" s="581"/>
      <c r="I432" s="420"/>
      <c r="J432" s="420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80">
        <f ca="1">I435</f>
        <v>20</v>
      </c>
      <c r="J433" s="680">
        <f ca="1">IF(AND(J435=I435,J437=I437,J439=I439),I437+I439,IF(AND(J435=I437,J437=I437),I437,IF(AND(J435=I439,J439=I439),I439,0)))</f>
        <v>20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80">
        <f ca="1">I438+I440</f>
        <v>1</v>
      </c>
      <c r="J434" s="680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7" t="s">
        <v>192</v>
      </c>
      <c r="E435" s="177"/>
      <c r="F435" s="177"/>
      <c r="G435" s="178"/>
      <c r="H435" s="622" t="s">
        <v>35</v>
      </c>
      <c r="I435" s="582">
        <f ca="1">IFERROR(__xludf.DUMMYFUNCTION("IMPORTRANGE(""https://docs.google.com/spreadsheets/d/1QqKyyYR6Q21VydFLVH3TRQUabQu_ym0Zz7PgGX0-kHA/edit?usp=sharing"",""แผน!FC76"")"),20)</f>
        <v>20</v>
      </c>
      <c r="J435" s="583">
        <v>20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7" t="s">
        <v>193</v>
      </c>
      <c r="E436" s="177"/>
      <c r="F436" s="177"/>
      <c r="G436" s="178"/>
      <c r="H436" s="622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7" t="s">
        <v>194</v>
      </c>
      <c r="E437" s="177"/>
      <c r="F437" s="177"/>
      <c r="G437" s="178"/>
      <c r="H437" s="622" t="s">
        <v>35</v>
      </c>
      <c r="I437" s="582">
        <f ca="1">IFERROR(__xludf.DUMMYFUNCTION("IMPORTRANGE(""https://docs.google.com/spreadsheets/d/1QqKyyYR6Q21VydFLVH3TRQUabQu_ym0Zz7PgGX0-kHA/edit?usp=sharing"",""แผน!FD76"")"),0)</f>
        <v>0</v>
      </c>
      <c r="J437" s="583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7" t="s">
        <v>195</v>
      </c>
      <c r="E438" s="177"/>
      <c r="F438" s="177"/>
      <c r="G438" s="178"/>
      <c r="H438" s="622" t="s">
        <v>49</v>
      </c>
      <c r="I438" s="269">
        <f ca="1">IFERROR(__xludf.DUMMYFUNCTION("IMPORTRANGE(""https://docs.google.com/spreadsheets/d/1QqKyyYR6Q21VydFLVH3TRQUabQu_ym0Zz7PgGX0-kHA/edit?usp=sharing"",""แผน!FE76"")"),0)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7" t="s">
        <v>196</v>
      </c>
      <c r="E439" s="177"/>
      <c r="F439" s="177"/>
      <c r="G439" s="178"/>
      <c r="H439" s="622" t="s">
        <v>35</v>
      </c>
      <c r="I439" s="582">
        <f ca="1">IFERROR(__xludf.DUMMYFUNCTION("IMPORTRANGE(""https://docs.google.com/spreadsheets/d/1QqKyyYR6Q21VydFLVH3TRQUabQu_ym0Zz7PgGX0-kHA/edit?usp=sharing"",""แผน!FF76"")"),20)</f>
        <v>20</v>
      </c>
      <c r="J439" s="583">
        <v>20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7" t="s">
        <v>197</v>
      </c>
      <c r="E440" s="177"/>
      <c r="F440" s="177"/>
      <c r="G440" s="178"/>
      <c r="H440" s="622" t="s">
        <v>49</v>
      </c>
      <c r="I440" s="269">
        <f ca="1">IFERROR(__xludf.DUMMYFUNCTION("IMPORTRANGE(""https://docs.google.com/spreadsheets/d/1QqKyyYR6Q21VydFLVH3TRQUabQu_ym0Zz7PgGX0-kHA/edit?usp=sharing"",""แผน!FG76"")"),1)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7" t="s">
        <v>198</v>
      </c>
      <c r="E441" s="177"/>
      <c r="F441" s="177"/>
      <c r="G441" s="178"/>
      <c r="H441" s="622" t="s">
        <v>35</v>
      </c>
      <c r="I441" s="269">
        <f ca="1">IFERROR(__xludf.DUMMYFUNCTION("IMPORTRANGE(""https://docs.google.com/spreadsheets/d/1QqKyyYR6Q21VydFLVH3TRQUabQu_ym0Zz7PgGX0-kHA/edit?usp=sharing"",""แผน!FH76"")"),0)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84">
        <v>2</v>
      </c>
      <c r="B442" s="585" t="s">
        <v>199</v>
      </c>
      <c r="C442" s="586"/>
      <c r="D442" s="586"/>
      <c r="E442" s="586"/>
      <c r="F442" s="586"/>
      <c r="G442" s="587"/>
      <c r="H442" s="588" t="s">
        <v>35</v>
      </c>
      <c r="I442" s="589">
        <f ca="1">I460</f>
        <v>45</v>
      </c>
      <c r="J442" s="589">
        <f>J460</f>
        <v>45</v>
      </c>
      <c r="K442" s="590">
        <f t="shared" ca="1" si="7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ca="1">I462</f>
        <v>200</v>
      </c>
      <c r="J443" s="569">
        <f>J462</f>
        <v>200</v>
      </c>
      <c r="K443" s="570">
        <f t="shared" ca="1" si="7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87" t="s">
        <v>17</v>
      </c>
      <c r="E444" s="888"/>
      <c r="F444" s="888"/>
      <c r="G444" s="188"/>
      <c r="H444" s="597" t="s">
        <v>12</v>
      </c>
      <c r="I444" s="269"/>
      <c r="J444" s="269"/>
      <c r="K444" s="497"/>
      <c r="L444" s="194">
        <f ca="1">L445+L446</f>
        <v>428280</v>
      </c>
      <c r="M444" s="194">
        <f ca="1">M445+M446</f>
        <v>426339</v>
      </c>
      <c r="N444" s="194">
        <f>N445+N446</f>
        <v>426339</v>
      </c>
      <c r="O444" s="194">
        <f t="shared" ref="O444:O449" ca="1" si="75">IF(L444&gt;0,N444*100/L444,0)</f>
        <v>99.546791818436532</v>
      </c>
      <c r="P444" s="194">
        <f t="shared" ref="P444:P449" ca="1" si="76">IF(M444&gt;0,N444*100/M444,0)</f>
        <v>100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184</v>
      </c>
      <c r="F445" s="758"/>
      <c r="G445" s="602"/>
      <c r="H445" s="164" t="s">
        <v>12</v>
      </c>
      <c r="I445" s="616"/>
      <c r="J445" s="616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185</v>
      </c>
      <c r="F446" s="758"/>
      <c r="G446" s="602"/>
      <c r="H446" s="164" t="s">
        <v>12</v>
      </c>
      <c r="I446" s="616"/>
      <c r="J446" s="616"/>
      <c r="K446" s="92"/>
      <c r="L446" s="92">
        <f t="shared" ca="1" si="77"/>
        <v>428280</v>
      </c>
      <c r="M446" s="92">
        <f t="shared" ca="1" si="77"/>
        <v>426339</v>
      </c>
      <c r="N446" s="92">
        <f t="shared" si="77"/>
        <v>426339</v>
      </c>
      <c r="O446" s="92">
        <f t="shared" ca="1" si="75"/>
        <v>99.546791818436532</v>
      </c>
      <c r="P446" s="92">
        <f t="shared" ca="1" si="76"/>
        <v>100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8"/>
      <c r="H447" s="160" t="s">
        <v>12</v>
      </c>
      <c r="I447" s="183"/>
      <c r="J447" s="183"/>
      <c r="K447" s="162"/>
      <c r="L447" s="497">
        <f ca="1">L448+L449</f>
        <v>428280</v>
      </c>
      <c r="M447" s="497">
        <f ca="1">M448+M449</f>
        <v>426339</v>
      </c>
      <c r="N447" s="497">
        <f>N448+N449</f>
        <v>426339</v>
      </c>
      <c r="O447" s="497">
        <f t="shared" ca="1" si="75"/>
        <v>99.546791818436532</v>
      </c>
      <c r="P447" s="497">
        <f t="shared" ca="1" si="76"/>
        <v>100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184</v>
      </c>
      <c r="F448" s="758"/>
      <c r="G448" s="602"/>
      <c r="H448" s="164" t="s">
        <v>12</v>
      </c>
      <c r="I448" s="616"/>
      <c r="J448" s="616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185</v>
      </c>
      <c r="F449" s="758"/>
      <c r="G449" s="602"/>
      <c r="H449" s="164" t="s">
        <v>12</v>
      </c>
      <c r="I449" s="616"/>
      <c r="J449" s="616"/>
      <c r="K449" s="92"/>
      <c r="L449" s="92">
        <f ca="1">IFERROR(__xludf.DUMMYFUNCTION("IMPORTRANGE(""https://docs.google.com/spreadsheets/d/1QqKyyYR6Q21VydFLVH3TRQUabQu_ym0Zz7PgGX0-kHA/edit?usp=sharing"",""แผน!FJ76"")"),428280)</f>
        <v>428280</v>
      </c>
      <c r="M449" s="92">
        <f ca="1">L449+14090-16031</f>
        <v>426339</v>
      </c>
      <c r="N449" s="92">
        <f>N450+N451+N452+N453</f>
        <v>426339</v>
      </c>
      <c r="O449" s="92">
        <f t="shared" ca="1" si="75"/>
        <v>99.546791818436532</v>
      </c>
      <c r="P449" s="92">
        <f t="shared" ca="1" si="76"/>
        <v>100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826">
        <v>60600</v>
      </c>
      <c r="O450" s="497"/>
      <c r="P450" s="497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826">
        <v>182500</v>
      </c>
      <c r="O451" s="497"/>
      <c r="P451" s="497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826">
        <v>126969</v>
      </c>
      <c r="O452" s="497"/>
      <c r="P452" s="497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826">
        <v>56270</v>
      </c>
      <c r="O453" s="497"/>
      <c r="P453" s="497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IFERROR(__xludf.DUMMYFUNCTION("IMPORTRANGE(""https://docs.google.com/spreadsheets/d/1QqKyyYR6Q21VydFLVH3TRQUabQu_ym0Zz7PgGX0-kHA/edit?usp=sharing"",""แผน!FM76"")"),0)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40" t="s">
        <v>38</v>
      </c>
      <c r="E457" s="610"/>
      <c r="F457" s="760"/>
      <c r="G457" s="612"/>
      <c r="H457" s="761"/>
      <c r="I457" s="269"/>
      <c r="J457" s="269"/>
      <c r="K457" s="497"/>
      <c r="L457" s="497"/>
      <c r="M457" s="497"/>
      <c r="N457" s="497"/>
      <c r="O457" s="497"/>
      <c r="P457" s="497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200</v>
      </c>
      <c r="E458" s="615"/>
      <c r="F458" s="719"/>
      <c r="G458" s="365"/>
      <c r="H458" s="369" t="s">
        <v>35</v>
      </c>
      <c r="I458" s="616">
        <v>0</v>
      </c>
      <c r="J458" s="616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201</v>
      </c>
      <c r="E459" s="615"/>
      <c r="F459" s="719"/>
      <c r="G459" s="365"/>
      <c r="H459" s="369"/>
      <c r="I459" s="616"/>
      <c r="J459" s="616"/>
      <c r="K459" s="92"/>
      <c r="L459" s="92"/>
      <c r="M459" s="92"/>
      <c r="N459" s="92"/>
      <c r="O459" s="92"/>
      <c r="P459" s="92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202</v>
      </c>
      <c r="E460" s="617"/>
      <c r="F460" s="625"/>
      <c r="G460" s="761"/>
      <c r="H460" s="763" t="s">
        <v>35</v>
      </c>
      <c r="I460" s="269">
        <f ca="1">IFERROR(__xludf.DUMMYFUNCTION("IMPORTRANGE(""https://docs.google.com/spreadsheets/d/1QqKyyYR6Q21VydFLVH3TRQUabQu_ym0Zz7PgGX0-kHA/edit?usp=sharing"",""แผน!FN76"")"),45)</f>
        <v>45</v>
      </c>
      <c r="J460" s="214">
        <v>45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203</v>
      </c>
      <c r="E461" s="625"/>
      <c r="F461" s="625"/>
      <c r="G461" s="761"/>
      <c r="H461" s="763"/>
      <c r="I461" s="269"/>
      <c r="J461" s="269"/>
      <c r="K461" s="497"/>
      <c r="L461" s="497"/>
      <c r="M461" s="497"/>
      <c r="N461" s="497"/>
      <c r="O461" s="497"/>
      <c r="P461" s="497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204</v>
      </c>
      <c r="E462" s="625"/>
      <c r="F462" s="625"/>
      <c r="G462" s="761"/>
      <c r="H462" s="763" t="s">
        <v>46</v>
      </c>
      <c r="I462" s="269">
        <f ca="1">IFERROR(__xludf.DUMMYFUNCTION("IMPORTRANGE(""https://docs.google.com/spreadsheets/d/1QqKyyYR6Q21VydFLVH3TRQUabQu_ym0Zz7PgGX0-kHA/edit?usp=sharing"",""แผน!FO76"")"),200)</f>
        <v>200</v>
      </c>
      <c r="J462" s="214">
        <v>200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8"/>
      <c r="H463" s="763" t="s">
        <v>46</v>
      </c>
      <c r="I463" s="269">
        <f ca="1">IFERROR(__xludf.DUMMYFUNCTION("IMPORTRANGE(""https://docs.google.com/spreadsheets/d/1QqKyyYR6Q21VydFLVH3TRQUabQu_ym0Zz7PgGX0-kHA/edit?usp=sharing"",""แผน!FO76"")"),200)</f>
        <v>200</v>
      </c>
      <c r="J463" s="214">
        <v>200</v>
      </c>
      <c r="K463" s="497"/>
      <c r="L463" s="497"/>
      <c r="M463" s="497"/>
      <c r="N463" s="497"/>
      <c r="O463" s="497"/>
      <c r="P463" s="497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69">
        <f ca="1">IFERROR(__xludf.DUMMYFUNCTION("IMPORTRANGE(""https://docs.google.com/spreadsheets/d/1QqKyyYR6Q21VydFLVH3TRQUabQu_ym0Zz7PgGX0-kHA/edit?usp=sharing"",""แผน!FN76"")"),45)</f>
        <v>45</v>
      </c>
      <c r="J464" s="214">
        <v>45</v>
      </c>
      <c r="K464" s="497"/>
      <c r="L464" s="497"/>
      <c r="M464" s="497"/>
      <c r="N464" s="497"/>
      <c r="O464" s="497"/>
      <c r="P464" s="497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205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IFERROR(__xludf.DUMMYFUNCTION("IMPORTRANGE(""https://docs.google.com/spreadsheets/d/1QqKyyYR6Q21VydFLVH3TRQUabQu_ym0Zz7PgGX0-kHA/edit?usp=sharing"",""แผน!FX76"")"),51)</f>
        <v>51</v>
      </c>
      <c r="J465" s="589">
        <f>J485+J489+J492</f>
        <v>51</v>
      </c>
      <c r="K465" s="590">
        <f ca="1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IFERROR(__xludf.DUMMYFUNCTION("IMPORTRANGE(""https://docs.google.com/spreadsheets/d/1QqKyyYR6Q21VydFLVH3TRQUabQu_ym0Zz7PgGX0-kHA/edit?usp=sharing"",""แผน!FW76"")"),500)</f>
        <v>500</v>
      </c>
      <c r="J466" s="569">
        <f>J495+J498</f>
        <v>500</v>
      </c>
      <c r="K466" s="570">
        <f ca="1">IF(I466&gt;0,J466*100/I466,0)</f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87" t="s">
        <v>17</v>
      </c>
      <c r="E467" s="888"/>
      <c r="F467" s="888"/>
      <c r="G467" s="188"/>
      <c r="H467" s="597" t="s">
        <v>12</v>
      </c>
      <c r="I467" s="269"/>
      <c r="J467" s="269"/>
      <c r="K467" s="497"/>
      <c r="L467" s="194">
        <f ca="1">L468+L469</f>
        <v>403983</v>
      </c>
      <c r="M467" s="194">
        <f ca="1">M468+M469</f>
        <v>413113</v>
      </c>
      <c r="N467" s="194">
        <f>N468+N469</f>
        <v>413113</v>
      </c>
      <c r="O467" s="194">
        <f t="shared" ref="O467:O472" ca="1" si="78">IF(L467&gt;0,N467*100/L467,0)</f>
        <v>102.25999608894433</v>
      </c>
      <c r="P467" s="194">
        <f t="shared" ref="P467:P472" ca="1" si="79">IF(M467&gt;0,N467*100/M467,0)</f>
        <v>100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184</v>
      </c>
      <c r="F468" s="758"/>
      <c r="G468" s="602"/>
      <c r="H468" s="164" t="s">
        <v>12</v>
      </c>
      <c r="I468" s="616"/>
      <c r="J468" s="616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185</v>
      </c>
      <c r="F469" s="758"/>
      <c r="G469" s="602"/>
      <c r="H469" s="164" t="s">
        <v>12</v>
      </c>
      <c r="I469" s="616"/>
      <c r="J469" s="616"/>
      <c r="K469" s="92"/>
      <c r="L469" s="92">
        <f t="shared" ca="1" si="80"/>
        <v>403983</v>
      </c>
      <c r="M469" s="92">
        <f t="shared" ca="1" si="80"/>
        <v>413113</v>
      </c>
      <c r="N469" s="92">
        <f t="shared" si="80"/>
        <v>413113</v>
      </c>
      <c r="O469" s="92">
        <f t="shared" ca="1" si="78"/>
        <v>102.25999608894433</v>
      </c>
      <c r="P469" s="92">
        <f t="shared" ca="1" si="79"/>
        <v>100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8"/>
      <c r="H470" s="160" t="s">
        <v>12</v>
      </c>
      <c r="I470" s="183"/>
      <c r="J470" s="183"/>
      <c r="K470" s="162"/>
      <c r="L470" s="497">
        <f ca="1">L471+L472</f>
        <v>403983</v>
      </c>
      <c r="M470" s="497">
        <f ca="1">M471+M472</f>
        <v>413113</v>
      </c>
      <c r="N470" s="497">
        <f>N471+N472</f>
        <v>413113</v>
      </c>
      <c r="O470" s="497">
        <f t="shared" ca="1" si="78"/>
        <v>102.25999608894433</v>
      </c>
      <c r="P470" s="497">
        <f t="shared" ca="1" si="79"/>
        <v>100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184</v>
      </c>
      <c r="F471" s="758"/>
      <c r="G471" s="602"/>
      <c r="H471" s="164" t="s">
        <v>12</v>
      </c>
      <c r="I471" s="616"/>
      <c r="J471" s="616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185</v>
      </c>
      <c r="F472" s="758"/>
      <c r="G472" s="602"/>
      <c r="H472" s="164" t="s">
        <v>12</v>
      </c>
      <c r="I472" s="616"/>
      <c r="J472" s="616"/>
      <c r="K472" s="92"/>
      <c r="L472" s="92">
        <f ca="1">IFERROR(__xludf.DUMMYFUNCTION("IMPORTRANGE(""https://docs.google.com/spreadsheets/d/1QqKyyYR6Q21VydFLVH3TRQUabQu_ym0Zz7PgGX0-kHA/edit?usp=sharing"",""แผน!FS76"")"),403983)</f>
        <v>403983</v>
      </c>
      <c r="M472" s="92">
        <f ca="1">L472+9130</f>
        <v>413113</v>
      </c>
      <c r="N472" s="92">
        <f>N473+N474+N475+N476</f>
        <v>413113</v>
      </c>
      <c r="O472" s="92">
        <f t="shared" ca="1" si="78"/>
        <v>102.25999608894433</v>
      </c>
      <c r="P472" s="92">
        <f t="shared" ca="1" si="79"/>
        <v>100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826">
        <v>70183</v>
      </c>
      <c r="O473" s="497"/>
      <c r="P473" s="497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826">
        <f>4000+310000</f>
        <v>314000</v>
      </c>
      <c r="O474" s="497"/>
      <c r="P474" s="497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826">
        <v>0</v>
      </c>
      <c r="O475" s="497"/>
      <c r="P475" s="497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826">
        <v>28930</v>
      </c>
      <c r="O476" s="497"/>
      <c r="P476" s="497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IFERROR(__xludf.DUMMYFUNCTION("IMPORTRANGE(""https://docs.google.com/spreadsheets/d/1QqKyyYR6Q21VydFLVH3TRQUabQu_ym0Zz7PgGX0-kHA/edit?usp=sharing"",""แผน!FV76"")"),0)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43" t="s">
        <v>38</v>
      </c>
      <c r="E480" s="610"/>
      <c r="F480" s="760"/>
      <c r="G480" s="612"/>
      <c r="H480" s="761"/>
      <c r="I480" s="269"/>
      <c r="J480" s="269"/>
      <c r="K480" s="497"/>
      <c r="L480" s="497"/>
      <c r="M480" s="497"/>
      <c r="N480" s="497"/>
      <c r="O480" s="497"/>
      <c r="P480" s="497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206</v>
      </c>
      <c r="E481" s="617"/>
      <c r="F481" s="617"/>
      <c r="G481" s="761"/>
      <c r="H481" s="188"/>
      <c r="I481" s="269"/>
      <c r="J481" s="269"/>
      <c r="K481" s="497"/>
      <c r="L481" s="497"/>
      <c r="M481" s="497"/>
      <c r="N481" s="497"/>
      <c r="O481" s="497"/>
      <c r="P481" s="497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207</v>
      </c>
      <c r="F482" s="617"/>
      <c r="G482" s="761"/>
      <c r="H482" s="188"/>
      <c r="I482" s="269"/>
      <c r="J482" s="269"/>
      <c r="K482" s="497"/>
      <c r="L482" s="497"/>
      <c r="M482" s="497"/>
      <c r="N482" s="497"/>
      <c r="O482" s="497"/>
      <c r="P482" s="497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208</v>
      </c>
      <c r="G483" s="761"/>
      <c r="H483" s="622" t="s">
        <v>46</v>
      </c>
      <c r="I483" s="269">
        <f ca="1">IFERROR(__xludf.DUMMYFUNCTION("IMPORTRANGE(""https://docs.google.com/spreadsheets/d/1QqKyyYR6Q21VydFLVH3TRQUabQu_ym0Zz7PgGX0-kHA/edit?usp=sharing"",""แผน!FY76"")"),450)</f>
        <v>450</v>
      </c>
      <c r="J483" s="214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209</v>
      </c>
      <c r="G484" s="761"/>
      <c r="H484" s="622" t="s">
        <v>35</v>
      </c>
      <c r="I484" s="269"/>
      <c r="J484" s="214">
        <v>45</v>
      </c>
      <c r="K484" s="497"/>
      <c r="L484" s="497"/>
      <c r="M484" s="497"/>
      <c r="N484" s="497"/>
      <c r="O484" s="497"/>
      <c r="P484" s="497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210</v>
      </c>
      <c r="G485" s="761"/>
      <c r="H485" s="622" t="s">
        <v>35</v>
      </c>
      <c r="I485" s="269">
        <f ca="1">IFERROR(__xludf.DUMMYFUNCTION("IMPORTRANGE(""https://docs.google.com/spreadsheets/d/1QqKyyYR6Q21VydFLVH3TRQUabQu_ym0Zz7PgGX0-kHA/edit?usp=sharing"",""แผน!FZ76"")"),45)</f>
        <v>45</v>
      </c>
      <c r="J485" s="214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69"/>
      <c r="J486" s="269"/>
      <c r="K486" s="497"/>
      <c r="L486" s="497"/>
      <c r="M486" s="497"/>
      <c r="N486" s="497"/>
      <c r="O486" s="497"/>
      <c r="P486" s="497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208</v>
      </c>
      <c r="G487" s="761"/>
      <c r="H487" s="622" t="s">
        <v>46</v>
      </c>
      <c r="I487" s="269">
        <f ca="1">IFERROR(__xludf.DUMMYFUNCTION("IMPORTRANGE(""https://docs.google.com/spreadsheets/d/1QqKyyYR6Q21VydFLVH3TRQUabQu_ym0Zz7PgGX0-kHA/edit?usp=sharing"",""แผน!GA76"")"),50)</f>
        <v>50</v>
      </c>
      <c r="J487" s="214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211</v>
      </c>
      <c r="G488" s="761"/>
      <c r="H488" s="622" t="s">
        <v>35</v>
      </c>
      <c r="I488" s="269"/>
      <c r="J488" s="214">
        <v>5</v>
      </c>
      <c r="K488" s="497"/>
      <c r="L488" s="497"/>
      <c r="M488" s="497"/>
      <c r="N488" s="497"/>
      <c r="O488" s="497"/>
      <c r="P488" s="497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212</v>
      </c>
      <c r="G489" s="761"/>
      <c r="H489" s="622" t="s">
        <v>35</v>
      </c>
      <c r="I489" s="269">
        <f ca="1">IFERROR(__xludf.DUMMYFUNCTION("IMPORTRANGE(""https://docs.google.com/spreadsheets/d/1QqKyyYR6Q21VydFLVH3TRQUabQu_ym0Zz7PgGX0-kHA/edit?usp=sharing"",""แผน!GB76"")"),5)</f>
        <v>5</v>
      </c>
      <c r="J489" s="214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69"/>
      <c r="J490" s="269"/>
      <c r="K490" s="497"/>
      <c r="L490" s="497"/>
      <c r="M490" s="497"/>
      <c r="N490" s="497"/>
      <c r="O490" s="497"/>
      <c r="P490" s="497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213</v>
      </c>
      <c r="G491" s="761"/>
      <c r="H491" s="622" t="s">
        <v>35</v>
      </c>
      <c r="I491" s="269"/>
      <c r="J491" s="214">
        <v>1</v>
      </c>
      <c r="K491" s="497"/>
      <c r="L491" s="497"/>
      <c r="M491" s="497"/>
      <c r="N491" s="497"/>
      <c r="O491" s="497"/>
      <c r="P491" s="497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214</v>
      </c>
      <c r="G492" s="761"/>
      <c r="H492" s="622" t="s">
        <v>35</v>
      </c>
      <c r="I492" s="269">
        <f ca="1">IFERROR(__xludf.DUMMYFUNCTION("IMPORTRANGE(""https://docs.google.com/spreadsheets/d/1QqKyyYR6Q21VydFLVH3TRQUabQu_ym0Zz7PgGX0-kHA/edit?usp=sharing"",""แผน!GC76"")"),1)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8"/>
      <c r="I493" s="269"/>
      <c r="J493" s="269"/>
      <c r="K493" s="497"/>
      <c r="L493" s="497"/>
      <c r="M493" s="497"/>
      <c r="N493" s="497"/>
      <c r="O493" s="497"/>
      <c r="P493" s="497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207</v>
      </c>
      <c r="F494" s="625"/>
      <c r="G494" s="761"/>
      <c r="H494" s="188"/>
      <c r="I494" s="269"/>
      <c r="J494" s="269"/>
      <c r="K494" s="497"/>
      <c r="L494" s="497"/>
      <c r="M494" s="497"/>
      <c r="N494" s="497"/>
      <c r="O494" s="497"/>
      <c r="P494" s="497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215</v>
      </c>
      <c r="G495" s="761"/>
      <c r="H495" s="622" t="s">
        <v>46</v>
      </c>
      <c r="I495" s="269">
        <f ca="1">IFERROR(__xludf.DUMMYFUNCTION("IMPORTRANGE(""https://docs.google.com/spreadsheets/d/1QqKyyYR6Q21VydFLVH3TRQUabQu_ym0Zz7PgGX0-kHA/edit?usp=sharing"",""แผน!FY76"")"),450)</f>
        <v>450</v>
      </c>
      <c r="J495" s="214">
        <v>450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216</v>
      </c>
      <c r="G496" s="761"/>
      <c r="H496" s="622" t="s">
        <v>46</v>
      </c>
      <c r="I496" s="269"/>
      <c r="J496" s="214">
        <v>450</v>
      </c>
      <c r="K496" s="497"/>
      <c r="L496" s="497"/>
      <c r="M496" s="497"/>
      <c r="N496" s="497"/>
      <c r="O496" s="497"/>
      <c r="P496" s="497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8"/>
      <c r="I497" s="269"/>
      <c r="J497" s="269"/>
      <c r="K497" s="497"/>
      <c r="L497" s="497"/>
      <c r="M497" s="497"/>
      <c r="N497" s="497"/>
      <c r="O497" s="497"/>
      <c r="P497" s="497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217</v>
      </c>
      <c r="G498" s="761"/>
      <c r="H498" s="622" t="s">
        <v>46</v>
      </c>
      <c r="I498" s="269">
        <f ca="1">IFERROR(__xludf.DUMMYFUNCTION("IMPORTRANGE(""https://docs.google.com/spreadsheets/d/1QqKyyYR6Q21VydFLVH3TRQUabQu_ym0Zz7PgGX0-kHA/edit?usp=sharing"",""แผน!GA76"")"),50)</f>
        <v>50</v>
      </c>
      <c r="J498" s="214">
        <v>50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218</v>
      </c>
      <c r="G499" s="761"/>
      <c r="H499" s="622" t="s">
        <v>46</v>
      </c>
      <c r="I499" s="269"/>
      <c r="J499" s="214">
        <v>50</v>
      </c>
      <c r="K499" s="497"/>
      <c r="L499" s="497"/>
      <c r="M499" s="497"/>
      <c r="N499" s="497"/>
      <c r="O499" s="497"/>
      <c r="P499" s="497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219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>J516</f>
        <v>0</v>
      </c>
      <c r="K500" s="633">
        <f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220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>J517</f>
        <v>0</v>
      </c>
      <c r="K501" s="642">
        <f>IF(I501&gt;0,J501*100/I501,0)</f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92" t="s">
        <v>17</v>
      </c>
      <c r="E502" s="888"/>
      <c r="F502" s="888"/>
      <c r="G502" s="602"/>
      <c r="H502" s="645" t="s">
        <v>12</v>
      </c>
      <c r="I502" s="616"/>
      <c r="J502" s="616"/>
      <c r="K502" s="92"/>
      <c r="L502" s="646">
        <f>L503+L504</f>
        <v>0</v>
      </c>
      <c r="M502" s="646">
        <f>M503+M504</f>
        <v>0</v>
      </c>
      <c r="N502" s="646">
        <f>N503+N504</f>
        <v>0</v>
      </c>
      <c r="O502" s="646">
        <f t="shared" ref="O502:O507" si="81">IF(L502&gt;0,N502*100/L502,0)</f>
        <v>0</v>
      </c>
      <c r="P502" s="646">
        <f t="shared" ref="P502:P507" si="82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184</v>
      </c>
      <c r="F503" s="758"/>
      <c r="G503" s="602"/>
      <c r="H503" s="164" t="s">
        <v>12</v>
      </c>
      <c r="I503" s="616"/>
      <c r="J503" s="616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185</v>
      </c>
      <c r="F504" s="758"/>
      <c r="G504" s="602"/>
      <c r="H504" s="164" t="s">
        <v>12</v>
      </c>
      <c r="I504" s="616"/>
      <c r="J504" s="616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184</v>
      </c>
      <c r="F506" s="758"/>
      <c r="G506" s="602"/>
      <c r="H506" s="164" t="s">
        <v>12</v>
      </c>
      <c r="I506" s="616"/>
      <c r="J506" s="616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185</v>
      </c>
      <c r="F507" s="758"/>
      <c r="G507" s="602"/>
      <c r="H507" s="164" t="s">
        <v>12</v>
      </c>
      <c r="I507" s="616"/>
      <c r="J507" s="616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186</v>
      </c>
      <c r="G508" s="602"/>
      <c r="H508" s="164" t="s">
        <v>12</v>
      </c>
      <c r="I508" s="616"/>
      <c r="J508" s="616"/>
      <c r="K508" s="92"/>
      <c r="L508" s="92"/>
      <c r="M508" s="92"/>
      <c r="N508" s="92">
        <v>0</v>
      </c>
      <c r="O508" s="92"/>
      <c r="P508" s="92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187</v>
      </c>
      <c r="G509" s="602"/>
      <c r="H509" s="164" t="s">
        <v>12</v>
      </c>
      <c r="I509" s="616"/>
      <c r="J509" s="616"/>
      <c r="K509" s="92"/>
      <c r="L509" s="92"/>
      <c r="M509" s="92"/>
      <c r="N509" s="92">
        <v>0</v>
      </c>
      <c r="O509" s="92"/>
      <c r="P509" s="92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188</v>
      </c>
      <c r="G510" s="602"/>
      <c r="H510" s="164" t="s">
        <v>12</v>
      </c>
      <c r="I510" s="616"/>
      <c r="J510" s="616"/>
      <c r="K510" s="92"/>
      <c r="L510" s="92"/>
      <c r="M510" s="92"/>
      <c r="N510" s="92">
        <v>0</v>
      </c>
      <c r="O510" s="92"/>
      <c r="P510" s="92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189</v>
      </c>
      <c r="G511" s="602"/>
      <c r="H511" s="164" t="s">
        <v>12</v>
      </c>
      <c r="I511" s="616"/>
      <c r="J511" s="616"/>
      <c r="K511" s="92"/>
      <c r="L511" s="92"/>
      <c r="M511" s="92"/>
      <c r="N511" s="92">
        <v>0</v>
      </c>
      <c r="O511" s="92"/>
      <c r="P511" s="92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42" t="s">
        <v>38</v>
      </c>
      <c r="E515" s="650"/>
      <c r="F515" s="650"/>
      <c r="G515" s="651"/>
      <c r="H515" s="365"/>
      <c r="I515" s="165"/>
      <c r="J515" s="165"/>
      <c r="K515" s="166"/>
      <c r="L515" s="166"/>
      <c r="M515" s="166"/>
      <c r="N515" s="166"/>
      <c r="O515" s="166"/>
      <c r="P515" s="166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221</v>
      </c>
      <c r="E516" s="719"/>
      <c r="F516" s="719"/>
      <c r="G516" s="365"/>
      <c r="H516" s="652" t="s">
        <v>109</v>
      </c>
      <c r="I516" s="616"/>
      <c r="J516" s="616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222</v>
      </c>
      <c r="E517" s="719"/>
      <c r="F517" s="719"/>
      <c r="G517" s="365"/>
      <c r="H517" s="653" t="s">
        <v>35</v>
      </c>
      <c r="I517" s="654"/>
      <c r="J517" s="654">
        <f>J518+J519</f>
        <v>0</v>
      </c>
      <c r="K517" s="655">
        <f>IF(I517&gt;0,J517*100/I517,0)</f>
        <v>0</v>
      </c>
      <c r="L517" s="166"/>
      <c r="M517" s="166"/>
      <c r="N517" s="166"/>
      <c r="O517" s="166"/>
      <c r="P517" s="166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223</v>
      </c>
      <c r="F518" s="719"/>
      <c r="G518" s="365"/>
      <c r="H518" s="369" t="s">
        <v>35</v>
      </c>
      <c r="I518" s="616"/>
      <c r="J518" s="616"/>
      <c r="K518" s="166"/>
      <c r="L518" s="166"/>
      <c r="M518" s="166"/>
      <c r="N518" s="166"/>
      <c r="O518" s="166"/>
      <c r="P518" s="166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224</v>
      </c>
      <c r="F519" s="719"/>
      <c r="G519" s="365"/>
      <c r="H519" s="652" t="s">
        <v>35</v>
      </c>
      <c r="I519" s="616"/>
      <c r="J519" s="616"/>
      <c r="K519" s="166"/>
      <c r="L519" s="166"/>
      <c r="M519" s="166"/>
      <c r="N519" s="166"/>
      <c r="O519" s="166"/>
      <c r="P519" s="166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>
      <c r="A521" s="663">
        <v>5</v>
      </c>
      <c r="B521" s="664" t="s">
        <v>225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>
      <c r="A522" s="670"/>
      <c r="B522" s="671" t="s">
        <v>226</v>
      </c>
      <c r="C522" s="672"/>
      <c r="D522" s="672"/>
      <c r="E522" s="672"/>
      <c r="F522" s="672"/>
      <c r="G522" s="673"/>
      <c r="H522" s="674" t="s">
        <v>35</v>
      </c>
      <c r="I522" s="707">
        <f ca="1">I537</f>
        <v>50</v>
      </c>
      <c r="J522" s="707">
        <f ca="1">J537</f>
        <v>50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>
      <c r="A523" s="596"/>
      <c r="B523" s="762"/>
      <c r="C523" s="762" t="s">
        <v>16</v>
      </c>
      <c r="D523" s="887" t="s">
        <v>17</v>
      </c>
      <c r="E523" s="888"/>
      <c r="F523" s="888"/>
      <c r="G523" s="188"/>
      <c r="H523" s="597" t="s">
        <v>12</v>
      </c>
      <c r="I523" s="269"/>
      <c r="J523" s="269"/>
      <c r="K523" s="497"/>
      <c r="L523" s="194">
        <f ca="1">L524+L525</f>
        <v>440560</v>
      </c>
      <c r="M523" s="194">
        <f ca="1">M524+M525</f>
        <v>479160</v>
      </c>
      <c r="N523" s="194">
        <f>N524+N525</f>
        <v>479160</v>
      </c>
      <c r="O523" s="194">
        <f t="shared" ref="O523:O528" ca="1" si="84">IF(L523&gt;0,N523*100/L523,0)</f>
        <v>108.76157617577628</v>
      </c>
      <c r="P523" s="194">
        <f t="shared" ref="P523:P528" ca="1" si="85">IF(M523&gt;0,N523*100/M523,0)</f>
        <v>100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184</v>
      </c>
      <c r="F524" s="758"/>
      <c r="G524" s="602"/>
      <c r="H524" s="164" t="s">
        <v>12</v>
      </c>
      <c r="I524" s="616"/>
      <c r="J524" s="616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185</v>
      </c>
      <c r="F525" s="758"/>
      <c r="G525" s="602"/>
      <c r="H525" s="164" t="s">
        <v>12</v>
      </c>
      <c r="I525" s="616"/>
      <c r="J525" s="616"/>
      <c r="K525" s="92"/>
      <c r="L525" s="92">
        <f t="shared" ca="1" si="86"/>
        <v>440560</v>
      </c>
      <c r="M525" s="92">
        <f t="shared" ca="1" si="86"/>
        <v>479160</v>
      </c>
      <c r="N525" s="92">
        <f t="shared" si="86"/>
        <v>479160</v>
      </c>
      <c r="O525" s="92">
        <f t="shared" ca="1" si="84"/>
        <v>108.76157617577628</v>
      </c>
      <c r="P525" s="92">
        <f t="shared" ca="1" si="85"/>
        <v>100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>
      <c r="A526" s="596"/>
      <c r="B526" s="574"/>
      <c r="C526" s="762"/>
      <c r="D526" s="605" t="s">
        <v>20</v>
      </c>
      <c r="E526" s="762"/>
      <c r="F526" s="762"/>
      <c r="G526" s="188"/>
      <c r="H526" s="160" t="s">
        <v>12</v>
      </c>
      <c r="I526" s="183"/>
      <c r="J526" s="183"/>
      <c r="K526" s="162"/>
      <c r="L526" s="497">
        <f ca="1">L527+L528</f>
        <v>440560</v>
      </c>
      <c r="M526" s="497">
        <f ca="1">M527+M528</f>
        <v>479160</v>
      </c>
      <c r="N526" s="497">
        <f>N527+N528</f>
        <v>479160</v>
      </c>
      <c r="O526" s="497">
        <f t="shared" ca="1" si="84"/>
        <v>108.76157617577628</v>
      </c>
      <c r="P526" s="497">
        <f t="shared" ca="1" si="85"/>
        <v>100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184</v>
      </c>
      <c r="F527" s="758"/>
      <c r="G527" s="602"/>
      <c r="H527" s="164" t="s">
        <v>12</v>
      </c>
      <c r="I527" s="616"/>
      <c r="J527" s="616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185</v>
      </c>
      <c r="F528" s="758"/>
      <c r="G528" s="602"/>
      <c r="H528" s="164" t="s">
        <v>12</v>
      </c>
      <c r="I528" s="616"/>
      <c r="J528" s="616"/>
      <c r="K528" s="92"/>
      <c r="L528" s="92">
        <f ca="1">IFERROR(__xludf.DUMMYFUNCTION("IMPORTRANGE(""https://docs.google.com/spreadsheets/d/1QqKyyYR6Q21VydFLVH3TRQUabQu_ym0Zz7PgGX0-kHA/edit?usp=sharing"",""แผน!GQ76"")"),440560)</f>
        <v>440560</v>
      </c>
      <c r="M528" s="92">
        <f ca="1">L528+38600</f>
        <v>479160</v>
      </c>
      <c r="N528" s="92">
        <f>N529+N530+N531+N532</f>
        <v>479160</v>
      </c>
      <c r="O528" s="92">
        <f t="shared" ca="1" si="84"/>
        <v>108.76157617577628</v>
      </c>
      <c r="P528" s="92">
        <f t="shared" ca="1" si="85"/>
        <v>100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>
      <c r="A529" s="573"/>
      <c r="B529" s="574"/>
      <c r="C529" s="762"/>
      <c r="D529" s="762"/>
      <c r="E529" s="762"/>
      <c r="F529" s="762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826">
        <v>148220</v>
      </c>
      <c r="O529" s="497"/>
      <c r="P529" s="497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>
      <c r="A530" s="573"/>
      <c r="B530" s="574"/>
      <c r="C530" s="762"/>
      <c r="D530" s="762"/>
      <c r="E530" s="762"/>
      <c r="F530" s="762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826">
        <v>250000</v>
      </c>
      <c r="O530" s="497"/>
      <c r="P530" s="497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>
      <c r="A531" s="573"/>
      <c r="B531" s="574"/>
      <c r="C531" s="762"/>
      <c r="D531" s="762"/>
      <c r="E531" s="762"/>
      <c r="F531" s="762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826">
        <v>0</v>
      </c>
      <c r="O531" s="497"/>
      <c r="P531" s="497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>
      <c r="A532" s="573"/>
      <c r="B532" s="574"/>
      <c r="C532" s="762"/>
      <c r="D532" s="762"/>
      <c r="E532" s="762"/>
      <c r="F532" s="762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826">
        <v>80940</v>
      </c>
      <c r="O532" s="497"/>
      <c r="P532" s="497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>
      <c r="A533" s="596"/>
      <c r="B533" s="574"/>
      <c r="C533" s="762"/>
      <c r="D533" s="605" t="s">
        <v>21</v>
      </c>
      <c r="E533" s="762"/>
      <c r="F533" s="762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IFERROR(__xludf.DUMMYFUNCTION("IMPORTRANGE(""https://docs.google.com/spreadsheets/d/1QqKyyYR6Q21VydFLVH3TRQUabQu_ym0Zz7PgGX0-kHA/edit?usp=sharing"",""แผน!GT76"")"),0)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>
      <c r="A536" s="607"/>
      <c r="B536" s="617"/>
      <c r="C536" s="762" t="s">
        <v>16</v>
      </c>
      <c r="D536" s="841" t="s">
        <v>38</v>
      </c>
      <c r="E536" s="760"/>
      <c r="F536" s="760"/>
      <c r="G536" s="612"/>
      <c r="H536" s="761"/>
      <c r="I536" s="183"/>
      <c r="J536" s="183"/>
      <c r="K536" s="162"/>
      <c r="L536" s="162"/>
      <c r="M536" s="162"/>
      <c r="N536" s="162"/>
      <c r="O536" s="162"/>
      <c r="P536" s="162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>
      <c r="A537" s="573"/>
      <c r="B537" s="574"/>
      <c r="C537" s="762"/>
      <c r="D537" s="762" t="s">
        <v>227</v>
      </c>
      <c r="E537" s="762"/>
      <c r="F537" s="762"/>
      <c r="G537" s="188"/>
      <c r="H537" s="622" t="s">
        <v>35</v>
      </c>
      <c r="I537" s="680">
        <f ca="1">IFERROR(__xludf.DUMMYFUNCTION("IMPORTRANGE(""https://docs.google.com/spreadsheets/d/1QqKyyYR6Q21VydFLVH3TRQUabQu_ym0Zz7PgGX0-kHA/edit?usp=sharing"",""แผน!GU76"")"),50)</f>
        <v>50</v>
      </c>
      <c r="J537" s="680">
        <f ca="1">IF(AND(J538=I538,J539=I539,J540=I540,J541=I541),I537,0)</f>
        <v>50</v>
      </c>
      <c r="K537" s="497">
        <f t="shared" ref="K537:K543" ca="1" si="87">IF(I537&gt;0,J537*100/I537,0)</f>
        <v>100</v>
      </c>
      <c r="L537" s="497"/>
      <c r="M537" s="497"/>
      <c r="N537" s="497"/>
      <c r="O537" s="497"/>
      <c r="P537" s="497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>
      <c r="A538" s="573"/>
      <c r="B538" s="574"/>
      <c r="C538" s="762"/>
      <c r="D538" s="762"/>
      <c r="E538" s="762" t="s">
        <v>228</v>
      </c>
      <c r="F538" s="762"/>
      <c r="G538" s="188"/>
      <c r="H538" s="622" t="s">
        <v>35</v>
      </c>
      <c r="I538" s="269">
        <f ca="1">IFERROR(__xludf.DUMMYFUNCTION("IMPORTRANGE(""https://docs.google.com/spreadsheets/d/1QqKyyYR6Q21VydFLVH3TRQUabQu_ym0Zz7PgGX0-kHA/edit?usp=sharing"",""แผน!GV76"")"),50)</f>
        <v>50</v>
      </c>
      <c r="J538" s="214">
        <v>50</v>
      </c>
      <c r="K538" s="497">
        <f t="shared" ca="1" si="87"/>
        <v>100</v>
      </c>
      <c r="L538" s="497"/>
      <c r="M538" s="497"/>
      <c r="N538" s="497"/>
      <c r="O538" s="497"/>
      <c r="P538" s="497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>
      <c r="A539" s="573"/>
      <c r="B539" s="574"/>
      <c r="C539" s="762"/>
      <c r="D539" s="762"/>
      <c r="E539" s="762" t="s">
        <v>229</v>
      </c>
      <c r="F539" s="762"/>
      <c r="G539" s="188"/>
      <c r="H539" s="622" t="s">
        <v>35</v>
      </c>
      <c r="I539" s="269">
        <f ca="1">IFERROR(__xludf.DUMMYFUNCTION("IMPORTRANGE(""https://docs.google.com/spreadsheets/d/1QqKyyYR6Q21VydFLVH3TRQUabQu_ym0Zz7PgGX0-kHA/edit?usp=sharing"",""แผน!GW76"")"),50)</f>
        <v>50</v>
      </c>
      <c r="J539" s="214">
        <v>50</v>
      </c>
      <c r="K539" s="497">
        <f t="shared" ca="1" si="87"/>
        <v>100</v>
      </c>
      <c r="L539" s="497"/>
      <c r="M539" s="497"/>
      <c r="N539" s="497"/>
      <c r="O539" s="497"/>
      <c r="P539" s="497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>
      <c r="A540" s="573"/>
      <c r="B540" s="574"/>
      <c r="C540" s="762"/>
      <c r="D540" s="762"/>
      <c r="E540" s="762" t="s">
        <v>230</v>
      </c>
      <c r="F540" s="762"/>
      <c r="G540" s="188"/>
      <c r="H540" s="622" t="s">
        <v>35</v>
      </c>
      <c r="I540" s="269">
        <f ca="1">IFERROR(__xludf.DUMMYFUNCTION("IMPORTRANGE(""https://docs.google.com/spreadsheets/d/1QqKyyYR6Q21VydFLVH3TRQUabQu_ym0Zz7PgGX0-kHA/edit?usp=sharing"",""แผน!GX76"")"),50)</f>
        <v>50</v>
      </c>
      <c r="J540" s="214">
        <v>50</v>
      </c>
      <c r="K540" s="497">
        <f t="shared" ca="1" si="87"/>
        <v>100</v>
      </c>
      <c r="L540" s="497"/>
      <c r="M540" s="497"/>
      <c r="N540" s="497"/>
      <c r="O540" s="497"/>
      <c r="P540" s="497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>
      <c r="A541" s="573"/>
      <c r="B541" s="574"/>
      <c r="C541" s="762"/>
      <c r="D541" s="762"/>
      <c r="E541" s="768" t="s">
        <v>231</v>
      </c>
      <c r="F541" s="762"/>
      <c r="G541" s="188"/>
      <c r="H541" s="622" t="s">
        <v>35</v>
      </c>
      <c r="I541" s="269">
        <f ca="1">IFERROR(__xludf.DUMMYFUNCTION("IMPORTRANGE(""https://docs.google.com/spreadsheets/d/1QqKyyYR6Q21VydFLVH3TRQUabQu_ym0Zz7PgGX0-kHA/edit?usp=sharing"",""แผน!GY76"")"),0)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>
      <c r="A542" s="573"/>
      <c r="B542" s="574"/>
      <c r="C542" s="762"/>
      <c r="D542" s="762" t="s">
        <v>59</v>
      </c>
      <c r="E542" s="762"/>
      <c r="F542" s="762"/>
      <c r="G542" s="188"/>
      <c r="H542" s="622" t="s">
        <v>35</v>
      </c>
      <c r="I542" s="269">
        <f ca="1">IFERROR(__xludf.DUMMYFUNCTION("IMPORTRANGE(""https://docs.google.com/spreadsheets/d/1QqKyyYR6Q21VydFLVH3TRQUabQu_ym0Zz7PgGX0-kHA/edit?usp=sharing"",""แผน!GZ76"")"),50)</f>
        <v>50</v>
      </c>
      <c r="J542" s="214">
        <v>50</v>
      </c>
      <c r="K542" s="497">
        <f t="shared" ca="1" si="87"/>
        <v>100</v>
      </c>
      <c r="L542" s="497"/>
      <c r="M542" s="497"/>
      <c r="N542" s="497"/>
      <c r="O542" s="497"/>
      <c r="P542" s="497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232</v>
      </c>
      <c r="C543" s="666"/>
      <c r="D543" s="666"/>
      <c r="E543" s="666"/>
      <c r="F543" s="666"/>
      <c r="G543" s="667"/>
      <c r="H543" s="685" t="s">
        <v>46</v>
      </c>
      <c r="I543" s="686">
        <f ca="1">I559</f>
        <v>72063.822499999995</v>
      </c>
      <c r="J543" s="686">
        <f>J559</f>
        <v>72063.822500000009</v>
      </c>
      <c r="K543" s="687">
        <f t="shared" ca="1" si="87"/>
        <v>100.00000000000001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911" t="s">
        <v>17</v>
      </c>
      <c r="E544" s="890"/>
      <c r="F544" s="890"/>
      <c r="G544" s="690"/>
      <c r="H544" s="274" t="s">
        <v>12</v>
      </c>
      <c r="I544" s="420"/>
      <c r="J544" s="420"/>
      <c r="K544" s="153"/>
      <c r="L544" s="154">
        <f ca="1">L545+L546</f>
        <v>759123</v>
      </c>
      <c r="M544" s="154">
        <f ca="1">M545+M546</f>
        <v>757824</v>
      </c>
      <c r="N544" s="154">
        <f>N545+N546</f>
        <v>757824</v>
      </c>
      <c r="O544" s="154">
        <f t="shared" ref="O544:O549" ca="1" si="88">IF(L544&gt;0,N544*100/L544,0)</f>
        <v>99.828881485609045</v>
      </c>
      <c r="P544" s="154">
        <f t="shared" ref="P544:P549" ca="1" si="89">IF(M544&gt;0,N544*100/M544,0)</f>
        <v>100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184</v>
      </c>
      <c r="F545" s="758"/>
      <c r="G545" s="602"/>
      <c r="H545" s="164" t="s">
        <v>12</v>
      </c>
      <c r="I545" s="616"/>
      <c r="J545" s="616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185</v>
      </c>
      <c r="F546" s="758"/>
      <c r="G546" s="602"/>
      <c r="H546" s="164" t="s">
        <v>12</v>
      </c>
      <c r="I546" s="616"/>
      <c r="J546" s="616"/>
      <c r="K546" s="92"/>
      <c r="L546" s="92">
        <f ca="1">L549+L557</f>
        <v>759123</v>
      </c>
      <c r="M546" s="92">
        <f ca="1">M549+M556</f>
        <v>757824</v>
      </c>
      <c r="N546" s="92">
        <f>N549+N556</f>
        <v>757824</v>
      </c>
      <c r="O546" s="92">
        <f t="shared" ca="1" si="88"/>
        <v>99.828881485609045</v>
      </c>
      <c r="P546" s="92">
        <f t="shared" ca="1" si="89"/>
        <v>100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8"/>
      <c r="H547" s="160" t="s">
        <v>12</v>
      </c>
      <c r="I547" s="183"/>
      <c r="J547" s="183"/>
      <c r="K547" s="162"/>
      <c r="L547" s="497">
        <f ca="1">L548+L549</f>
        <v>759123</v>
      </c>
      <c r="M547" s="497">
        <f ca="1">M548+M549</f>
        <v>757824</v>
      </c>
      <c r="N547" s="497">
        <f>N548+N549</f>
        <v>757824</v>
      </c>
      <c r="O547" s="497">
        <f t="shared" ca="1" si="88"/>
        <v>99.828881485609045</v>
      </c>
      <c r="P547" s="497">
        <f t="shared" ca="1" si="89"/>
        <v>100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184</v>
      </c>
      <c r="F548" s="758"/>
      <c r="G548" s="602"/>
      <c r="H548" s="164" t="s">
        <v>12</v>
      </c>
      <c r="I548" s="616"/>
      <c r="J548" s="616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185</v>
      </c>
      <c r="F549" s="758"/>
      <c r="G549" s="602"/>
      <c r="H549" s="164" t="s">
        <v>12</v>
      </c>
      <c r="I549" s="616"/>
      <c r="J549" s="616"/>
      <c r="K549" s="92"/>
      <c r="L549" s="92">
        <f ca="1">IFERROR(__xludf.DUMMYFUNCTION("IMPORTRANGE(""https://docs.google.com/spreadsheets/d/1QqKyyYR6Q21VydFLVH3TRQUabQu_ym0Zz7PgGX0-kHA/edit?usp=sharing"",""แผน!HB76"")"),759123)</f>
        <v>759123</v>
      </c>
      <c r="M549" s="92">
        <f ca="1">L549-1299</f>
        <v>757824</v>
      </c>
      <c r="N549" s="92">
        <f>N550+N551+N552+N553+N554</f>
        <v>757824</v>
      </c>
      <c r="O549" s="92">
        <f t="shared" ca="1" si="88"/>
        <v>99.828881485609045</v>
      </c>
      <c r="P549" s="92">
        <f t="shared" ca="1" si="89"/>
        <v>100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826">
        <v>0</v>
      </c>
      <c r="O550" s="497"/>
      <c r="P550" s="497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826">
        <v>0</v>
      </c>
      <c r="O551" s="497"/>
      <c r="P551" s="497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826">
        <v>141701</v>
      </c>
      <c r="O552" s="497"/>
      <c r="P552" s="497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826">
        <v>616123</v>
      </c>
      <c r="O553" s="497"/>
      <c r="P553" s="497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869">
        <v>0</v>
      </c>
      <c r="O554" s="497"/>
      <c r="P554" s="497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IFERROR(__xludf.DUMMYFUNCTION("IMPORTRANGE(""https://docs.google.com/spreadsheets/d/1QqKyyYR6Q21VydFLVH3TRQUabQu_ym0Zz7PgGX0-kHA/edit?usp=sharing"",""แผน!HF76"")"),0)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41" t="s">
        <v>38</v>
      </c>
      <c r="E558" s="760"/>
      <c r="F558" s="760"/>
      <c r="G558" s="612"/>
      <c r="H558" s="761"/>
      <c r="I558" s="183"/>
      <c r="J558" s="183"/>
      <c r="K558" s="162"/>
      <c r="L558" s="162"/>
      <c r="M558" s="162"/>
      <c r="N558" s="162"/>
      <c r="O558" s="162"/>
      <c r="P558" s="162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234</v>
      </c>
      <c r="C559" s="693"/>
      <c r="D559" s="693"/>
      <c r="E559" s="672"/>
      <c r="F559" s="672"/>
      <c r="G559" s="673"/>
      <c r="H559" s="694" t="s">
        <v>46</v>
      </c>
      <c r="I559" s="707">
        <f ca="1">I576</f>
        <v>72063.822499999995</v>
      </c>
      <c r="J559" s="707">
        <f>J576</f>
        <v>72063.822500000009</v>
      </c>
      <c r="K559" s="676">
        <f ca="1">IF(I559&gt;0,J559*100/I559,0)</f>
        <v>100.00000000000001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235</v>
      </c>
      <c r="D560" s="617"/>
      <c r="E560" s="625"/>
      <c r="F560" s="625"/>
      <c r="G560" s="761"/>
      <c r="H560" s="766" t="s">
        <v>46</v>
      </c>
      <c r="I560" s="192">
        <f ca="1">IFERROR(__xludf.DUMMYFUNCTION("IMPORTRANGE(""https://docs.google.com/spreadsheets/d/1QqKyyYR6Q21VydFLVH3TRQUabQu_ym0Zz7PgGX0-kHA/edit?usp=sharing"",""แผน!HH76"")"),72063.8225)</f>
        <v>72063.822499999995</v>
      </c>
      <c r="J560" s="192">
        <f>J562+J564+J566</f>
        <v>72063</v>
      </c>
      <c r="K560" s="411">
        <f ca="1">IF(I560&gt;0,J560*100/I560,0)</f>
        <v>99.998858650607943</v>
      </c>
      <c r="L560" s="162"/>
      <c r="M560" s="162"/>
      <c r="N560" s="162"/>
      <c r="O560" s="162"/>
      <c r="P560" s="162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2">
        <f ca="1">IFERROR(__xludf.DUMMYFUNCTION("IMPORTRANGE(""https://docs.google.com/spreadsheets/d/1QqKyyYR6Q21VydFLVH3TRQUabQu_ym0Zz7PgGX0-kHA/edit?usp=sharing"",""แผน!HG76"")"),5898)</f>
        <v>5898</v>
      </c>
      <c r="J561" s="192">
        <f>J563+J565+J567</f>
        <v>5898</v>
      </c>
      <c r="K561" s="411">
        <f ca="1">IF(I561&gt;0,J561*100/I561,0)</f>
        <v>100</v>
      </c>
      <c r="L561" s="162"/>
      <c r="M561" s="162"/>
      <c r="N561" s="162"/>
      <c r="O561" s="162"/>
      <c r="P561" s="162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236</v>
      </c>
      <c r="E562" s="625"/>
      <c r="F562" s="625"/>
      <c r="G562" s="761"/>
      <c r="H562" s="763" t="s">
        <v>46</v>
      </c>
      <c r="I562" s="183"/>
      <c r="J562" s="214">
        <v>63211</v>
      </c>
      <c r="K562" s="162"/>
      <c r="L562" s="162"/>
      <c r="M562" s="162"/>
      <c r="N562" s="162"/>
      <c r="O562" s="162"/>
      <c r="P562" s="162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3"/>
      <c r="J563" s="214">
        <v>5198</v>
      </c>
      <c r="K563" s="162"/>
      <c r="L563" s="162"/>
      <c r="M563" s="162"/>
      <c r="N563" s="162"/>
      <c r="O563" s="162"/>
      <c r="P563" s="162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237</v>
      </c>
      <c r="E564" s="625"/>
      <c r="F564" s="625"/>
      <c r="G564" s="761"/>
      <c r="H564" s="763" t="s">
        <v>46</v>
      </c>
      <c r="I564" s="183"/>
      <c r="J564" s="214">
        <v>7386</v>
      </c>
      <c r="K564" s="162"/>
      <c r="L564" s="162"/>
      <c r="M564" s="162"/>
      <c r="N564" s="162"/>
      <c r="O564" s="162"/>
      <c r="P564" s="162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3"/>
      <c r="J565" s="214">
        <v>567</v>
      </c>
      <c r="K565" s="162"/>
      <c r="L565" s="162"/>
      <c r="M565" s="162"/>
      <c r="N565" s="162"/>
      <c r="O565" s="162"/>
      <c r="P565" s="162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238</v>
      </c>
      <c r="E566" s="625"/>
      <c r="F566" s="625"/>
      <c r="G566" s="761"/>
      <c r="H566" s="763" t="s">
        <v>46</v>
      </c>
      <c r="I566" s="183"/>
      <c r="J566" s="214">
        <v>1466</v>
      </c>
      <c r="K566" s="162"/>
      <c r="L566" s="162"/>
      <c r="M566" s="162"/>
      <c r="N566" s="162"/>
      <c r="O566" s="162"/>
      <c r="P566" s="162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3"/>
      <c r="J567" s="214">
        <v>133</v>
      </c>
      <c r="K567" s="162"/>
      <c r="L567" s="162"/>
      <c r="M567" s="162"/>
      <c r="N567" s="162"/>
      <c r="O567" s="162"/>
      <c r="P567" s="162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239</v>
      </c>
      <c r="D568" s="625"/>
      <c r="E568" s="625"/>
      <c r="F568" s="625"/>
      <c r="G568" s="761"/>
      <c r="H568" s="766" t="s">
        <v>46</v>
      </c>
      <c r="I568" s="192">
        <f ca="1">IFERROR(__xludf.DUMMYFUNCTION("IMPORTRANGE(""https://docs.google.com/spreadsheets/d/1QqKyyYR6Q21VydFLVH3TRQUabQu_ym0Zz7PgGX0-kHA/edit?usp=sharing"",""แผน!HH76"")"),72063.8225)</f>
        <v>72063.822499999995</v>
      </c>
      <c r="J568" s="680">
        <f>J570+J572+J574</f>
        <v>72063</v>
      </c>
      <c r="K568" s="411">
        <f ca="1">IF(I568&gt;0,J568*100/I568,0)</f>
        <v>99.998858650607943</v>
      </c>
      <c r="L568" s="162"/>
      <c r="M568" s="162"/>
      <c r="N568" s="162"/>
      <c r="O568" s="162"/>
      <c r="P568" s="162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2">
        <f ca="1">IFERROR(__xludf.DUMMYFUNCTION("IMPORTRANGE(""https://docs.google.com/spreadsheets/d/1QqKyyYR6Q21VydFLVH3TRQUabQu_ym0Zz7PgGX0-kHA/edit?usp=sharing"",""แผน!HG76"")"),5898)</f>
        <v>5898</v>
      </c>
      <c r="J569" s="680">
        <f>J571+J573+J575</f>
        <v>5898</v>
      </c>
      <c r="K569" s="411">
        <f ca="1">IF(I569&gt;0,J569*100/I569,0)</f>
        <v>100</v>
      </c>
      <c r="L569" s="162"/>
      <c r="M569" s="162"/>
      <c r="N569" s="162"/>
      <c r="O569" s="162"/>
      <c r="P569" s="162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240</v>
      </c>
      <c r="E570" s="617"/>
      <c r="F570" s="625"/>
      <c r="G570" s="761"/>
      <c r="H570" s="763" t="s">
        <v>46</v>
      </c>
      <c r="I570" s="183"/>
      <c r="J570" s="214">
        <v>63638</v>
      </c>
      <c r="K570" s="162"/>
      <c r="L570" s="162"/>
      <c r="M570" s="162"/>
      <c r="N570" s="162"/>
      <c r="O570" s="162"/>
      <c r="P570" s="162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3"/>
      <c r="J571" s="214">
        <v>5234</v>
      </c>
      <c r="K571" s="162"/>
      <c r="L571" s="162"/>
      <c r="M571" s="162"/>
      <c r="N571" s="162"/>
      <c r="O571" s="162"/>
      <c r="P571" s="162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241</v>
      </c>
      <c r="E572" s="625"/>
      <c r="F572" s="625"/>
      <c r="G572" s="761"/>
      <c r="H572" s="763" t="s">
        <v>46</v>
      </c>
      <c r="I572" s="183"/>
      <c r="J572" s="214">
        <v>6892</v>
      </c>
      <c r="K572" s="162"/>
      <c r="L572" s="162"/>
      <c r="M572" s="162"/>
      <c r="N572" s="162"/>
      <c r="O572" s="162"/>
      <c r="P572" s="162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3"/>
      <c r="J573" s="214">
        <v>529</v>
      </c>
      <c r="K573" s="162"/>
      <c r="L573" s="162"/>
      <c r="M573" s="162"/>
      <c r="N573" s="162"/>
      <c r="O573" s="162"/>
      <c r="P573" s="162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242</v>
      </c>
      <c r="E574" s="625"/>
      <c r="F574" s="625"/>
      <c r="G574" s="761"/>
      <c r="H574" s="763" t="s">
        <v>46</v>
      </c>
      <c r="I574" s="183"/>
      <c r="J574" s="214">
        <v>1533</v>
      </c>
      <c r="K574" s="162"/>
      <c r="L574" s="162"/>
      <c r="M574" s="162"/>
      <c r="N574" s="162"/>
      <c r="O574" s="162"/>
      <c r="P574" s="162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3"/>
      <c r="J575" s="214">
        <v>135</v>
      </c>
      <c r="K575" s="162"/>
      <c r="L575" s="162"/>
      <c r="M575" s="162"/>
      <c r="N575" s="162"/>
      <c r="O575" s="162"/>
      <c r="P575" s="162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243</v>
      </c>
      <c r="D576" s="617"/>
      <c r="E576" s="617"/>
      <c r="F576" s="625"/>
      <c r="G576" s="761"/>
      <c r="H576" s="766" t="s">
        <v>46</v>
      </c>
      <c r="I576" s="192">
        <f ca="1">IFERROR(__xludf.DUMMYFUNCTION("IMPORTRANGE(""https://docs.google.com/spreadsheets/d/1QqKyyYR6Q21VydFLVH3TRQUabQu_ym0Zz7PgGX0-kHA/edit?usp=sharing"",""แผน!HH76"")"),72063.8225)</f>
        <v>72063.822499999995</v>
      </c>
      <c r="J576" s="680">
        <f>J578+J580+J582+J588+J590</f>
        <v>72063.822500000009</v>
      </c>
      <c r="K576" s="411">
        <f ca="1">IF(I576&gt;0,J576*100/I576,0)</f>
        <v>100.00000000000001</v>
      </c>
      <c r="L576" s="162"/>
      <c r="M576" s="162"/>
      <c r="N576" s="162"/>
      <c r="O576" s="162"/>
      <c r="P576" s="162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2">
        <f ca="1">IFERROR(__xludf.DUMMYFUNCTION("IMPORTRANGE(""https://docs.google.com/spreadsheets/d/1QqKyyYR6Q21VydFLVH3TRQUabQu_ym0Zz7PgGX0-kHA/edit?usp=sharing"",""แผน!HG76"")"),5898)</f>
        <v>5898</v>
      </c>
      <c r="J577" s="680">
        <f>J579+J581+J583+J589+J591</f>
        <v>5898</v>
      </c>
      <c r="K577" s="411">
        <f ca="1">IF(I577&gt;0,J577*100/I577,0)</f>
        <v>100</v>
      </c>
      <c r="L577" s="162"/>
      <c r="M577" s="162"/>
      <c r="N577" s="162"/>
      <c r="O577" s="162"/>
      <c r="P577" s="162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244</v>
      </c>
      <c r="E578" s="625"/>
      <c r="F578" s="625"/>
      <c r="G578" s="761"/>
      <c r="H578" s="763" t="s">
        <v>46</v>
      </c>
      <c r="I578" s="183"/>
      <c r="J578" s="214">
        <v>65225.547500000001</v>
      </c>
      <c r="K578" s="162"/>
      <c r="L578" s="162"/>
      <c r="M578" s="162"/>
      <c r="N578" s="162"/>
      <c r="O578" s="162"/>
      <c r="P578" s="162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3"/>
      <c r="J579" s="214">
        <v>5343</v>
      </c>
      <c r="K579" s="162"/>
      <c r="L579" s="162"/>
      <c r="M579" s="162"/>
      <c r="N579" s="162"/>
      <c r="O579" s="162"/>
      <c r="P579" s="162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245</v>
      </c>
      <c r="E580" s="625"/>
      <c r="F580" s="625"/>
      <c r="G580" s="761"/>
      <c r="H580" s="763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246</v>
      </c>
      <c r="E582" s="625"/>
      <c r="F582" s="625"/>
      <c r="G582" s="761"/>
      <c r="H582" s="763" t="s">
        <v>46</v>
      </c>
      <c r="I582" s="183"/>
      <c r="J582" s="680">
        <f>J584+J586</f>
        <v>1532.8924999999999</v>
      </c>
      <c r="K582" s="411"/>
      <c r="L582" s="162"/>
      <c r="M582" s="162"/>
      <c r="N582" s="162"/>
      <c r="O582" s="162"/>
      <c r="P582" s="162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3"/>
      <c r="J583" s="680">
        <f>J585+J587</f>
        <v>135</v>
      </c>
      <c r="K583" s="411"/>
      <c r="L583" s="162"/>
      <c r="M583" s="162"/>
      <c r="N583" s="162"/>
      <c r="O583" s="162"/>
      <c r="P583" s="162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247</v>
      </c>
      <c r="F584" s="625"/>
      <c r="G584" s="761"/>
      <c r="H584" s="763" t="s">
        <v>46</v>
      </c>
      <c r="I584" s="183"/>
      <c r="J584" s="214">
        <v>1532.8924999999999</v>
      </c>
      <c r="K584" s="162"/>
      <c r="L584" s="162"/>
      <c r="M584" s="162"/>
      <c r="N584" s="162"/>
      <c r="O584" s="162"/>
      <c r="P584" s="162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3"/>
      <c r="J585" s="214">
        <v>135</v>
      </c>
      <c r="K585" s="162"/>
      <c r="L585" s="162"/>
      <c r="M585" s="162"/>
      <c r="N585" s="162"/>
      <c r="O585" s="162"/>
      <c r="P585" s="162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248</v>
      </c>
      <c r="F586" s="625"/>
      <c r="G586" s="761"/>
      <c r="H586" s="763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249</v>
      </c>
      <c r="E588" s="625"/>
      <c r="F588" s="625"/>
      <c r="G588" s="761"/>
      <c r="H588" s="763" t="s">
        <v>46</v>
      </c>
      <c r="I588" s="183"/>
      <c r="J588" s="214">
        <v>5305.3824999999997</v>
      </c>
      <c r="K588" s="162"/>
      <c r="L588" s="162"/>
      <c r="M588" s="162"/>
      <c r="N588" s="162"/>
      <c r="O588" s="162"/>
      <c r="P588" s="162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3"/>
      <c r="J589" s="214">
        <v>420</v>
      </c>
      <c r="K589" s="162"/>
      <c r="L589" s="162"/>
      <c r="M589" s="162"/>
      <c r="N589" s="162"/>
      <c r="O589" s="162"/>
      <c r="P589" s="162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250</v>
      </c>
      <c r="E590" s="625"/>
      <c r="F590" s="625"/>
      <c r="G590" s="761"/>
      <c r="H590" s="763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251</v>
      </c>
      <c r="C592" s="693"/>
      <c r="D592" s="693"/>
      <c r="E592" s="672"/>
      <c r="F592" s="672"/>
      <c r="G592" s="673"/>
      <c r="H592" s="694" t="s">
        <v>46</v>
      </c>
      <c r="I592" s="702">
        <f ca="1">I593</f>
        <v>11583.05</v>
      </c>
      <c r="J592" s="707">
        <f>J593</f>
        <v>11583</v>
      </c>
      <c r="K592" s="676">
        <f ca="1">IF(I592&gt;0,J592*100/I592,0)</f>
        <v>99.99956833476503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252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IFERROR(__xludf.DUMMYFUNCTION("IMPORTRANGE(""https://docs.google.com/spreadsheets/d/1QqKyyYR6Q21VydFLVH3TRQUabQu_ym0Zz7PgGX0-kHA/edit?usp=sharing"",""แผน!HJ76"")"),11583.05)</f>
        <v>11583.05</v>
      </c>
      <c r="J593" s="192">
        <f>J595+J603+J609</f>
        <v>11583</v>
      </c>
      <c r="K593" s="411">
        <f ca="1">IF(I593&gt;0,J593*100/I593,0)</f>
        <v>99.99956833476503</v>
      </c>
      <c r="L593" s="162"/>
      <c r="M593" s="162"/>
      <c r="N593" s="162"/>
      <c r="O593" s="162"/>
      <c r="P593" s="162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2">
        <f ca="1">IFERROR(__xludf.DUMMYFUNCTION("IMPORTRANGE(""https://docs.google.com/spreadsheets/d/1QqKyyYR6Q21VydFLVH3TRQUabQu_ym0Zz7PgGX0-kHA/edit?usp=sharing"",""แผน!HI76"")"),1156)</f>
        <v>1156</v>
      </c>
      <c r="J594" s="192">
        <f>J596+J604+J610</f>
        <v>1156</v>
      </c>
      <c r="K594" s="411">
        <f ca="1">IF(I594&gt;0,J594*100/I594,0)</f>
        <v>100</v>
      </c>
      <c r="L594" s="162"/>
      <c r="M594" s="162"/>
      <c r="N594" s="162"/>
      <c r="O594" s="162"/>
      <c r="P594" s="162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253</v>
      </c>
      <c r="D595" s="617"/>
      <c r="E595" s="617"/>
      <c r="F595" s="625"/>
      <c r="G595" s="761"/>
      <c r="H595" s="763" t="s">
        <v>46</v>
      </c>
      <c r="I595" s="183"/>
      <c r="J595" s="183">
        <f>J597+J599</f>
        <v>11579</v>
      </c>
      <c r="K595" s="162"/>
      <c r="L595" s="162"/>
      <c r="M595" s="162"/>
      <c r="N595" s="162"/>
      <c r="O595" s="162"/>
      <c r="P595" s="162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3"/>
      <c r="J596" s="183">
        <f>J598+J600</f>
        <v>1155</v>
      </c>
      <c r="K596" s="162"/>
      <c r="L596" s="162"/>
      <c r="M596" s="162"/>
      <c r="N596" s="162"/>
      <c r="O596" s="162"/>
      <c r="P596" s="162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254</v>
      </c>
      <c r="E597" s="625"/>
      <c r="F597" s="625"/>
      <c r="G597" s="761"/>
      <c r="H597" s="763" t="s">
        <v>46</v>
      </c>
      <c r="I597" s="183"/>
      <c r="J597" s="214">
        <v>11570</v>
      </c>
      <c r="K597" s="162"/>
      <c r="L597" s="162"/>
      <c r="M597" s="162"/>
      <c r="N597" s="162"/>
      <c r="O597" s="162"/>
      <c r="P597" s="162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69"/>
      <c r="J598" s="214">
        <v>1153</v>
      </c>
      <c r="K598" s="162"/>
      <c r="L598" s="162"/>
      <c r="M598" s="162"/>
      <c r="N598" s="162"/>
      <c r="O598" s="162"/>
      <c r="P598" s="162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255</v>
      </c>
      <c r="E599" s="625"/>
      <c r="F599" s="625"/>
      <c r="G599" s="761"/>
      <c r="H599" s="763" t="s">
        <v>46</v>
      </c>
      <c r="I599" s="269"/>
      <c r="J599" s="214">
        <v>9</v>
      </c>
      <c r="K599" s="162"/>
      <c r="L599" s="162"/>
      <c r="M599" s="162"/>
      <c r="N599" s="162"/>
      <c r="O599" s="162"/>
      <c r="P599" s="162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69"/>
      <c r="J600" s="214">
        <v>2</v>
      </c>
      <c r="K600" s="162"/>
      <c r="L600" s="162"/>
      <c r="M600" s="162"/>
      <c r="N600" s="162"/>
      <c r="O600" s="162"/>
      <c r="P600" s="162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256</v>
      </c>
      <c r="E601" s="625"/>
      <c r="F601" s="625"/>
      <c r="G601" s="761"/>
      <c r="H601" s="763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257</v>
      </c>
      <c r="D603" s="617"/>
      <c r="E603" s="617"/>
      <c r="F603" s="625"/>
      <c r="G603" s="761"/>
      <c r="H603" s="763" t="s">
        <v>46</v>
      </c>
      <c r="I603" s="269"/>
      <c r="J603" s="269">
        <f>J605+J607</f>
        <v>4</v>
      </c>
      <c r="K603" s="162"/>
      <c r="L603" s="162"/>
      <c r="M603" s="162"/>
      <c r="N603" s="162"/>
      <c r="O603" s="162"/>
      <c r="P603" s="162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69"/>
      <c r="J604" s="269">
        <f>J606+J608</f>
        <v>1</v>
      </c>
      <c r="K604" s="162"/>
      <c r="L604" s="162"/>
      <c r="M604" s="162"/>
      <c r="N604" s="162"/>
      <c r="O604" s="162"/>
      <c r="P604" s="162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258</v>
      </c>
      <c r="E605" s="625"/>
      <c r="F605" s="625"/>
      <c r="G605" s="761"/>
      <c r="H605" s="763" t="s">
        <v>46</v>
      </c>
      <c r="I605" s="269"/>
      <c r="J605" s="214">
        <v>4</v>
      </c>
      <c r="K605" s="162"/>
      <c r="L605" s="162"/>
      <c r="M605" s="162"/>
      <c r="N605" s="162"/>
      <c r="O605" s="162"/>
      <c r="P605" s="162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69"/>
      <c r="J606" s="214">
        <v>1</v>
      </c>
      <c r="K606" s="162"/>
      <c r="L606" s="162"/>
      <c r="M606" s="162"/>
      <c r="N606" s="162"/>
      <c r="O606" s="162"/>
      <c r="P606" s="162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259</v>
      </c>
      <c r="E607" s="617"/>
      <c r="F607" s="625"/>
      <c r="G607" s="761"/>
      <c r="H607" s="763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260</v>
      </c>
      <c r="D609" s="617"/>
      <c r="E609" s="617"/>
      <c r="F609" s="625"/>
      <c r="G609" s="761"/>
      <c r="H609" s="763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261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262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>J614+J616</f>
        <v>0</v>
      </c>
      <c r="K612" s="716">
        <f>IF(I612&gt;0,J612*100/I612,0)</f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263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>J615+J617</f>
        <v>0</v>
      </c>
      <c r="K613" s="716">
        <f>IF(I613&gt;0,J613*100/I613,0)</f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264</v>
      </c>
      <c r="E614" s="615"/>
      <c r="F614" s="719"/>
      <c r="G614" s="365"/>
      <c r="H614" s="369" t="s">
        <v>46</v>
      </c>
      <c r="I614" s="616"/>
      <c r="J614" s="616">
        <v>0</v>
      </c>
      <c r="K614" s="166"/>
      <c r="L614" s="166"/>
      <c r="M614" s="166"/>
      <c r="N614" s="166"/>
      <c r="O614" s="166"/>
      <c r="P614" s="166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5"/>
      <c r="H615" s="369" t="s">
        <v>34</v>
      </c>
      <c r="I615" s="616"/>
      <c r="J615" s="616">
        <v>0</v>
      </c>
      <c r="K615" s="166"/>
      <c r="L615" s="166"/>
      <c r="M615" s="166"/>
      <c r="N615" s="166"/>
      <c r="O615" s="166"/>
      <c r="P615" s="166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264</v>
      </c>
      <c r="E616" s="719"/>
      <c r="F616" s="719"/>
      <c r="G616" s="365"/>
      <c r="H616" s="369" t="s">
        <v>46</v>
      </c>
      <c r="I616" s="616"/>
      <c r="J616" s="616">
        <v>0</v>
      </c>
      <c r="K616" s="166"/>
      <c r="L616" s="166"/>
      <c r="M616" s="166"/>
      <c r="N616" s="166"/>
      <c r="O616" s="166"/>
      <c r="P616" s="166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5"/>
      <c r="H617" s="369" t="s">
        <v>34</v>
      </c>
      <c r="I617" s="616"/>
      <c r="J617" s="616">
        <v>0</v>
      </c>
      <c r="K617" s="166"/>
      <c r="L617" s="166"/>
      <c r="M617" s="166"/>
      <c r="N617" s="166"/>
      <c r="O617" s="166"/>
      <c r="P617" s="166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265</v>
      </c>
      <c r="E618" s="719"/>
      <c r="F618" s="719"/>
      <c r="G618" s="365"/>
      <c r="H618" s="369" t="s">
        <v>46</v>
      </c>
      <c r="I618" s="616"/>
      <c r="J618" s="616">
        <v>0</v>
      </c>
      <c r="K618" s="166"/>
      <c r="L618" s="166"/>
      <c r="M618" s="166"/>
      <c r="N618" s="166"/>
      <c r="O618" s="166"/>
      <c r="P618" s="166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5"/>
      <c r="H619" s="369" t="s">
        <v>34</v>
      </c>
      <c r="I619" s="616"/>
      <c r="J619" s="616">
        <v>0</v>
      </c>
      <c r="K619" s="166"/>
      <c r="L619" s="166"/>
      <c r="M619" s="166"/>
      <c r="N619" s="166"/>
      <c r="O619" s="166"/>
      <c r="P619" s="166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266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IFERROR(__xludf.DUMMYFUNCTION("IMPORTRANGE(""https://docs.google.com/spreadsheets/d/1QqKyyYR6Q21VydFLVH3TRQUabQu_ym0Zz7PgGX0-kHA/edit?usp=sharing"",""แผน!HL76"")"),0)</f>
        <v>0</v>
      </c>
      <c r="J620" s="727">
        <f>J622+J624+J626</f>
        <v>0</v>
      </c>
      <c r="K620" s="728">
        <f ca="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267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IFERROR(__xludf.DUMMYFUNCTION("IMPORTRANGE(""https://docs.google.com/spreadsheets/d/1QqKyyYR6Q21VydFLVH3TRQUabQu_ym0Zz7PgGX0-kHA/edit?usp=sharing"",""แผน!HK76"")"),0)</f>
        <v>0</v>
      </c>
      <c r="J621" s="727">
        <f>J623+J625+J627</f>
        <v>0</v>
      </c>
      <c r="K621" s="728">
        <f ca="1">IF(I621&gt;0,J621*100/I621,0)</f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268</v>
      </c>
      <c r="E622" s="625"/>
      <c r="F622" s="625"/>
      <c r="G622" s="761"/>
      <c r="H622" s="763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264</v>
      </c>
      <c r="E624" s="625"/>
      <c r="F624" s="625"/>
      <c r="G624" s="761"/>
      <c r="H624" s="763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269</v>
      </c>
      <c r="E626" s="625"/>
      <c r="F626" s="625"/>
      <c r="G626" s="761"/>
      <c r="H626" s="763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2" t="s">
        <v>34</v>
      </c>
      <c r="I627" s="505"/>
      <c r="J627" s="424">
        <v>0</v>
      </c>
      <c r="K627" s="384"/>
      <c r="L627" s="384"/>
      <c r="M627" s="384"/>
      <c r="N627" s="384"/>
      <c r="O627" s="384"/>
      <c r="P627" s="384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270</v>
      </c>
      <c r="C628" s="737"/>
      <c r="D628" s="737"/>
      <c r="E628" s="737"/>
      <c r="F628" s="737"/>
      <c r="G628" s="738"/>
      <c r="H628" s="739" t="s">
        <v>35</v>
      </c>
      <c r="I628" s="740">
        <f ca="1">I651</f>
        <v>0</v>
      </c>
      <c r="J628" s="740">
        <f ca="1">J651</f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87" t="s">
        <v>17</v>
      </c>
      <c r="E629" s="888"/>
      <c r="F629" s="888"/>
      <c r="G629" s="188"/>
      <c r="H629" s="597" t="s">
        <v>12</v>
      </c>
      <c r="I629" s="269"/>
      <c r="J629" s="269"/>
      <c r="K629" s="497"/>
      <c r="L629" s="194">
        <f ca="1">L630+L631</f>
        <v>0</v>
      </c>
      <c r="M629" s="194">
        <f>M630+M631</f>
        <v>0</v>
      </c>
      <c r="N629" s="194">
        <f>N630+N631</f>
        <v>0</v>
      </c>
      <c r="O629" s="194">
        <f t="shared" ref="O629:O634" ca="1" si="90">IF(L629&gt;0,N629*100/L629,0)</f>
        <v>0</v>
      </c>
      <c r="P629" s="194">
        <f t="shared" ref="P629:P634" si="91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184</v>
      </c>
      <c r="F630" s="758"/>
      <c r="G630" s="602"/>
      <c r="H630" s="164" t="s">
        <v>12</v>
      </c>
      <c r="I630" s="616"/>
      <c r="J630" s="616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185</v>
      </c>
      <c r="F631" s="758"/>
      <c r="G631" s="602"/>
      <c r="H631" s="164" t="s">
        <v>12</v>
      </c>
      <c r="I631" s="616"/>
      <c r="J631" s="616"/>
      <c r="K631" s="92"/>
      <c r="L631" s="92">
        <f t="shared" ca="1" si="92"/>
        <v>0</v>
      </c>
      <c r="M631" s="92">
        <f t="shared" si="92"/>
        <v>0</v>
      </c>
      <c r="N631" s="92">
        <f t="shared" si="92"/>
        <v>0</v>
      </c>
      <c r="O631" s="92">
        <f t="shared" ca="1" si="90"/>
        <v>0</v>
      </c>
      <c r="P631" s="92">
        <f t="shared" si="91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8"/>
      <c r="H632" s="160" t="s">
        <v>12</v>
      </c>
      <c r="I632" s="183"/>
      <c r="J632" s="183"/>
      <c r="K632" s="162"/>
      <c r="L632" s="497">
        <f ca="1">L633+L634</f>
        <v>0</v>
      </c>
      <c r="M632" s="497">
        <f>M633+M634</f>
        <v>0</v>
      </c>
      <c r="N632" s="497">
        <f>N633+N634</f>
        <v>0</v>
      </c>
      <c r="O632" s="497">
        <f t="shared" ca="1" si="90"/>
        <v>0</v>
      </c>
      <c r="P632" s="497">
        <f t="shared" si="91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184</v>
      </c>
      <c r="F633" s="758"/>
      <c r="G633" s="602"/>
      <c r="H633" s="164" t="s">
        <v>12</v>
      </c>
      <c r="I633" s="616"/>
      <c r="J633" s="616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185</v>
      </c>
      <c r="F634" s="758"/>
      <c r="G634" s="602"/>
      <c r="H634" s="164" t="s">
        <v>12</v>
      </c>
      <c r="I634" s="616"/>
      <c r="J634" s="616"/>
      <c r="K634" s="92"/>
      <c r="L634" s="92">
        <f ca="1">IFERROR(__xludf.DUMMYFUNCTION("IMPORTRANGE(""https://docs.google.com/spreadsheets/d/1QqKyyYR6Q21VydFLVH3TRQUabQu_ym0Zz7PgGX0-kHA/edit?usp=sharing"",""แผน!HN76"")"),0)</f>
        <v>0</v>
      </c>
      <c r="M634" s="92">
        <v>0</v>
      </c>
      <c r="N634" s="92">
        <f>N635+N636+N637+N638</f>
        <v>0</v>
      </c>
      <c r="O634" s="92">
        <f t="shared" ca="1" si="90"/>
        <v>0</v>
      </c>
      <c r="P634" s="92">
        <f t="shared" si="91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826">
        <v>0</v>
      </c>
      <c r="O635" s="497"/>
      <c r="P635" s="497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826">
        <v>0</v>
      </c>
      <c r="O636" s="497"/>
      <c r="P636" s="497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826">
        <v>0</v>
      </c>
      <c r="O637" s="497"/>
      <c r="P637" s="497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826">
        <v>0</v>
      </c>
      <c r="O638" s="497"/>
      <c r="P638" s="497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IFERROR(__xludf.DUMMYFUNCTION("IMPORTRANGE(""https://docs.google.com/spreadsheets/d/1QqKyyYR6Q21VydFLVH3TRQUabQu_ym0Zz7PgGX0-kHA/edit?usp=sharing"",""แผน!HQ76"")"),0)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41" t="s">
        <v>38</v>
      </c>
      <c r="E642" s="760"/>
      <c r="F642" s="760"/>
      <c r="G642" s="612"/>
      <c r="H642" s="761"/>
      <c r="I642" s="183"/>
      <c r="J642" s="183"/>
      <c r="K642" s="162"/>
      <c r="L642" s="162"/>
      <c r="M642" s="162"/>
      <c r="N642" s="162"/>
      <c r="O642" s="162"/>
      <c r="P642" s="162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271</v>
      </c>
      <c r="F643" s="625"/>
      <c r="G643" s="761"/>
      <c r="H643" s="763" t="s">
        <v>272</v>
      </c>
      <c r="I643" s="269">
        <f ca="1">IFERROR(__xludf.DUMMYFUNCTION("IMPORTRANGE(""https://docs.google.com/spreadsheets/d/1QqKyyYR6Q21VydFLVH3TRQUabQu_ym0Zz7PgGX0-kHA/edit?usp=sharing"",""แผน!HR76"")"),0)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273</v>
      </c>
      <c r="F644" s="625"/>
      <c r="G644" s="761"/>
      <c r="H644" s="763" t="s">
        <v>274</v>
      </c>
      <c r="I644" s="269">
        <f ca="1">IFERROR(__xludf.DUMMYFUNCTION("IMPORTRANGE(""https://docs.google.com/spreadsheets/d/1QqKyyYR6Q21VydFLVH3TRQUabQu_ym0Zz7PgGX0-kHA/edit?usp=sharing"",""แผน!HR76"")"),0)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275</v>
      </c>
      <c r="F645" s="625"/>
      <c r="G645" s="761"/>
      <c r="H645" s="763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IFERROR(__xludf.DUMMYFUNCTION("IMPORTRANGE(""https://docs.google.com/spreadsheets/d/1XWAQStnk-4SwqDmLtmXYiTMKHgktTP8We1SCoS47DrQ/edit?usp=sharing"",""จัดที่ดิน!AS76"")"),0)</f>
        <v>0</v>
      </c>
      <c r="K645" s="162">
        <f t="shared" si="93"/>
        <v>0</v>
      </c>
      <c r="L645" s="162"/>
      <c r="M645" s="162"/>
      <c r="N645" s="497"/>
      <c r="O645" s="162"/>
      <c r="P645" s="162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IFERROR(__xludf.DUMMYFUNCTION("IMPORTRANGE(""https://docs.google.com/spreadsheets/d/1XWAQStnk-4SwqDmLtmXYiTMKHgktTP8We1SCoS47DrQ/edit?usp=sharing"",""จัดที่ดิน!AT76"")"),0)</f>
        <v>0</v>
      </c>
      <c r="K646" s="497">
        <f t="shared" si="93"/>
        <v>0</v>
      </c>
      <c r="L646" s="162"/>
      <c r="M646" s="162"/>
      <c r="N646" s="497"/>
      <c r="O646" s="162"/>
      <c r="P646" s="162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69">
        <f ca="1">IFERROR(__xludf.DUMMYFUNCTION("IMPORTRANGE(""https://docs.google.com/spreadsheets/d/1QqKyyYR6Q21VydFLVH3TRQUabQu_ym0Zz7PgGX0-kHA/edit?usp=sharing"",""แผน!HS76"")"),0)</f>
        <v>0</v>
      </c>
      <c r="J647" s="269">
        <f ca="1">IFERROR(__xludf.DUMMYFUNCTION("IMPORTRANGE(""https://docs.google.com/spreadsheets/d/1XWAQStnk-4SwqDmLtmXYiTMKHgktTP8We1SCoS47DrQ/edit?usp=sharing"",""จัดที่ดิน!AU76"")"),0)</f>
        <v>0</v>
      </c>
      <c r="K647" s="162">
        <f t="shared" ca="1" si="93"/>
        <v>0</v>
      </c>
      <c r="L647" s="162"/>
      <c r="M647" s="162"/>
      <c r="N647" s="162"/>
      <c r="O647" s="162"/>
      <c r="P647" s="162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IFERROR(__xludf.DUMMYFUNCTION("IMPORTRANGE(""https://docs.google.com/spreadsheets/d/1XWAQStnk-4SwqDmLtmXYiTMKHgktTP8We1SCoS47DrQ/edit?usp=sharing"",""จัดที่ดิน!AV76"")"),0)</f>
        <v>0</v>
      </c>
      <c r="K648" s="497">
        <f t="shared" si="93"/>
        <v>0</v>
      </c>
      <c r="L648" s="162"/>
      <c r="M648" s="162"/>
      <c r="N648" s="162"/>
      <c r="O648" s="162"/>
      <c r="P648" s="162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276</v>
      </c>
      <c r="F649" s="625"/>
      <c r="G649" s="761"/>
      <c r="H649" s="763" t="s">
        <v>35</v>
      </c>
      <c r="I649" s="269">
        <f ca="1">IFERROR(__xludf.DUMMYFUNCTION("IMPORTRANGE(""https://docs.google.com/spreadsheets/d/1QqKyyYR6Q21VydFLVH3TRQUabQu_ym0Zz7PgGX0-kHA/edit?usp=sharing"",""แผน!HS76"")"),0)</f>
        <v>0</v>
      </c>
      <c r="J649" s="269">
        <f ca="1">IFERROR(__xludf.DUMMYFUNCTION("IMPORTRANGE(""https://docs.google.com/spreadsheets/d/1XWAQStnk-4SwqDmLtmXYiTMKHgktTP8We1SCoS47DrQ/edit?usp=sharing"",""จัดที่ดิน!AW76"")"),0)</f>
        <v>0</v>
      </c>
      <c r="K649" s="162">
        <f t="shared" ca="1" si="93"/>
        <v>0</v>
      </c>
      <c r="L649" s="162"/>
      <c r="M649" s="162"/>
      <c r="N649" s="162"/>
      <c r="O649" s="162"/>
      <c r="P649" s="162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IFERROR(__xludf.DUMMYFUNCTION("IMPORTRANGE(""https://docs.google.com/spreadsheets/d/1XWAQStnk-4SwqDmLtmXYiTMKHgktTP8We1SCoS47DrQ/edit?usp=sharing"",""จัดที่ดิน!AX76"")"),0)</f>
        <v>0</v>
      </c>
      <c r="K650" s="497">
        <f t="shared" si="93"/>
        <v>0</v>
      </c>
      <c r="L650" s="162"/>
      <c r="M650" s="162"/>
      <c r="N650" s="162"/>
      <c r="O650" s="162"/>
      <c r="P650" s="162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277</v>
      </c>
      <c r="F651" s="625"/>
      <c r="G651" s="761"/>
      <c r="H651" s="763" t="s">
        <v>35</v>
      </c>
      <c r="I651" s="269">
        <f ca="1">IFERROR(__xludf.DUMMYFUNCTION("IMPORTRANGE(""https://docs.google.com/spreadsheets/d/1QqKyyYR6Q21VydFLVH3TRQUabQu_ym0Zz7PgGX0-kHA/edit?usp=sharing"",""แผน!HS76"")"),0)</f>
        <v>0</v>
      </c>
      <c r="J651" s="269">
        <f ca="1">IFERROR(__xludf.DUMMYFUNCTION("IMPORTRANGE(""https://docs.google.com/spreadsheets/d/1XWAQStnk-4SwqDmLtmXYiTMKHgktTP8We1SCoS47DrQ/edit?usp=sharing"",""จัดที่ดิน!AY76"")"),0)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827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IFERROR(__xludf.DUMMYFUNCTION("IMPORTRANGE(""https://docs.google.com/spreadsheets/d/1XWAQStnk-4SwqDmLtmXYiTMKHgktTP8We1SCoS47DrQ/edit?usp=sharing"",""จัดที่ดิน!AZ76"")"),0)</f>
        <v>0</v>
      </c>
      <c r="K652" s="506">
        <f t="shared" si="93"/>
        <v>0</v>
      </c>
      <c r="L652" s="384"/>
      <c r="M652" s="384"/>
      <c r="N652" s="384"/>
      <c r="O652" s="384"/>
      <c r="P652" s="384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278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279</v>
      </c>
      <c r="C654" s="672"/>
      <c r="D654" s="672"/>
      <c r="E654" s="672"/>
      <c r="F654" s="672"/>
      <c r="G654" s="673"/>
      <c r="H654" s="706" t="s">
        <v>46</v>
      </c>
      <c r="I654" s="707">
        <f ca="1">I669</f>
        <v>0</v>
      </c>
      <c r="J654" s="707">
        <f>J669</f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87" t="s">
        <v>17</v>
      </c>
      <c r="E655" s="888"/>
      <c r="F655" s="888"/>
      <c r="G655" s="188"/>
      <c r="H655" s="597" t="s">
        <v>12</v>
      </c>
      <c r="I655" s="269"/>
      <c r="J655" s="269"/>
      <c r="K655" s="497"/>
      <c r="L655" s="194">
        <f ca="1">L656+L657</f>
        <v>0</v>
      </c>
      <c r="M655" s="194">
        <f>M656+M657</f>
        <v>0</v>
      </c>
      <c r="N655" s="194">
        <f>N656+N657</f>
        <v>0</v>
      </c>
      <c r="O655" s="194">
        <f t="shared" ref="O655:O660" ca="1" si="94">IF(L655&gt;0,N655*100/L655,0)</f>
        <v>0</v>
      </c>
      <c r="P655" s="194">
        <f t="shared" ref="P655:P660" si="9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184</v>
      </c>
      <c r="F656" s="758"/>
      <c r="G656" s="602"/>
      <c r="H656" s="164" t="s">
        <v>12</v>
      </c>
      <c r="I656" s="616"/>
      <c r="J656" s="616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185</v>
      </c>
      <c r="F657" s="758"/>
      <c r="G657" s="602"/>
      <c r="H657" s="164" t="s">
        <v>12</v>
      </c>
      <c r="I657" s="616"/>
      <c r="J657" s="616"/>
      <c r="K657" s="92"/>
      <c r="L657" s="92">
        <f t="shared" ca="1" si="96"/>
        <v>0</v>
      </c>
      <c r="M657" s="92">
        <f t="shared" si="96"/>
        <v>0</v>
      </c>
      <c r="N657" s="92">
        <f t="shared" si="96"/>
        <v>0</v>
      </c>
      <c r="O657" s="92">
        <f t="shared" ca="1" si="94"/>
        <v>0</v>
      </c>
      <c r="P657" s="92">
        <f t="shared" si="9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8"/>
      <c r="H658" s="160" t="s">
        <v>12</v>
      </c>
      <c r="I658" s="183"/>
      <c r="J658" s="183"/>
      <c r="K658" s="162"/>
      <c r="L658" s="497">
        <f ca="1">L659+L660</f>
        <v>0</v>
      </c>
      <c r="M658" s="497">
        <f>M659+M660</f>
        <v>0</v>
      </c>
      <c r="N658" s="497">
        <f>N659+N660</f>
        <v>0</v>
      </c>
      <c r="O658" s="497">
        <f t="shared" ca="1" si="94"/>
        <v>0</v>
      </c>
      <c r="P658" s="497">
        <f t="shared" si="9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184</v>
      </c>
      <c r="F659" s="758"/>
      <c r="G659" s="602"/>
      <c r="H659" s="164" t="s">
        <v>12</v>
      </c>
      <c r="I659" s="616"/>
      <c r="J659" s="616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185</v>
      </c>
      <c r="F660" s="758"/>
      <c r="G660" s="602"/>
      <c r="H660" s="164" t="s">
        <v>12</v>
      </c>
      <c r="I660" s="616"/>
      <c r="J660" s="616"/>
      <c r="K660" s="92"/>
      <c r="L660" s="92">
        <f ca="1">IFERROR(__xludf.DUMMYFUNCTION("IMPORTRANGE(""https://docs.google.com/spreadsheets/d/1QqKyyYR6Q21VydFLVH3TRQUabQu_ym0Zz7PgGX0-kHA/edit?usp=sharing"",""แผน!HV76"")"),0)</f>
        <v>0</v>
      </c>
      <c r="M660" s="92">
        <v>0</v>
      </c>
      <c r="N660" s="92">
        <f>N661+N662+N663+N664</f>
        <v>0</v>
      </c>
      <c r="O660" s="92">
        <f t="shared" ca="1" si="94"/>
        <v>0</v>
      </c>
      <c r="P660" s="92">
        <f t="shared" si="9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826">
        <v>0</v>
      </c>
      <c r="O661" s="497"/>
      <c r="P661" s="497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826">
        <v>0</v>
      </c>
      <c r="O662" s="497"/>
      <c r="P662" s="497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826">
        <v>0</v>
      </c>
      <c r="O663" s="497"/>
      <c r="P663" s="497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826">
        <v>0</v>
      </c>
      <c r="O664" s="497"/>
      <c r="P664" s="497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40" t="s">
        <v>38</v>
      </c>
      <c r="E668" s="760"/>
      <c r="F668" s="760"/>
      <c r="G668" s="612"/>
      <c r="H668" s="761"/>
      <c r="I668" s="183"/>
      <c r="J668" s="183"/>
      <c r="K668" s="162"/>
      <c r="L668" s="162"/>
      <c r="M668" s="162"/>
      <c r="N668" s="162"/>
      <c r="O668" s="162"/>
      <c r="P668" s="162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280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IFERROR(__xludf.DUMMYFUNCTION("IMPORTRANGE(""https://docs.google.com/spreadsheets/d/1QqKyyYR6Q21VydFLVH3TRQUabQu_ym0Zz7PgGX0-kHA/edit?usp=sharing"",""แผน!IA76"")"),0)</f>
        <v>0</v>
      </c>
      <c r="J669" s="680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281</v>
      </c>
      <c r="F670" s="625"/>
      <c r="G670" s="761"/>
      <c r="H670" s="763" t="s">
        <v>66</v>
      </c>
      <c r="I670" s="269">
        <f ca="1">IFERROR(__xludf.DUMMYFUNCTION("IMPORTRANGE(""https://docs.google.com/spreadsheets/d/1QqKyyYR6Q21VydFLVH3TRQUabQu_ym0Zz7PgGX0-kHA/edit?usp=sharing"",""แผน!HZ76"")"),0)</f>
        <v>0</v>
      </c>
      <c r="J670" s="214">
        <v>0</v>
      </c>
      <c r="K670" s="497">
        <f ca="1">IF(I670&gt;0,(J670*100)/I670,0)</f>
        <v>0</v>
      </c>
      <c r="L670" s="162"/>
      <c r="M670" s="162"/>
      <c r="N670" s="162"/>
      <c r="O670" s="162"/>
      <c r="P670" s="162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282</v>
      </c>
      <c r="F671" s="625"/>
      <c r="G671" s="761"/>
      <c r="H671" s="763" t="s">
        <v>66</v>
      </c>
      <c r="I671" s="269">
        <f ca="1">IFERROR(__xludf.DUMMYFUNCTION("IMPORTRANGE(""https://docs.google.com/spreadsheets/d/1QqKyyYR6Q21VydFLVH3TRQUabQu_ym0Zz7PgGX0-kHA/edit?usp=sharing"",""แผน!HZ76"")"),0)</f>
        <v>0</v>
      </c>
      <c r="J671" s="214">
        <v>0</v>
      </c>
      <c r="K671" s="497">
        <f ca="1">IF(I$671&gt;0,J671*100/I$671,0)</f>
        <v>0</v>
      </c>
      <c r="L671" s="162"/>
      <c r="M671" s="162"/>
      <c r="N671" s="162"/>
      <c r="O671" s="162"/>
      <c r="P671" s="162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283</v>
      </c>
      <c r="F672" s="625"/>
      <c r="G672" s="761"/>
      <c r="H672" s="763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284</v>
      </c>
      <c r="F673" s="625"/>
      <c r="G673" s="761"/>
      <c r="H673" s="763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285</v>
      </c>
      <c r="F674" s="625"/>
      <c r="G674" s="761"/>
      <c r="H674" s="763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286</v>
      </c>
      <c r="F675" s="625"/>
      <c r="G675" s="761"/>
      <c r="H675" s="763" t="s">
        <v>46</v>
      </c>
      <c r="I675" s="269"/>
      <c r="J675" s="680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287</v>
      </c>
      <c r="G676" s="761"/>
      <c r="H676" s="763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288</v>
      </c>
      <c r="G677" s="761"/>
      <c r="H677" s="763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289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IFERROR(__xludf.DUMMYFUNCTION("IMPORTRANGE(""https://docs.google.com/spreadsheets/d/1QqKyyYR6Q21VydFLVH3TRQUabQu_ym0Zz7PgGX0-kHA/edit?usp=sharing"",""แผน!IB76"")"),0)</f>
        <v>0</v>
      </c>
      <c r="J678" s="680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290</v>
      </c>
      <c r="F679" s="625"/>
      <c r="G679" s="761"/>
      <c r="H679" s="763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287</v>
      </c>
      <c r="G680" s="761"/>
      <c r="H680" s="763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288</v>
      </c>
      <c r="G681" s="761"/>
      <c r="H681" s="763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291</v>
      </c>
      <c r="F682" s="625"/>
      <c r="G682" s="761"/>
      <c r="H682" s="763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292</v>
      </c>
      <c r="G683" s="761"/>
      <c r="H683" s="763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293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87" t="s">
        <v>17</v>
      </c>
      <c r="E685" s="888"/>
      <c r="F685" s="888"/>
      <c r="G685" s="188"/>
      <c r="H685" s="597" t="s">
        <v>12</v>
      </c>
      <c r="I685" s="269"/>
      <c r="J685" s="269"/>
      <c r="K685" s="497"/>
      <c r="L685" s="194">
        <f ca="1">L686+L687</f>
        <v>0</v>
      </c>
      <c r="M685" s="194">
        <f>M686+M687</f>
        <v>0</v>
      </c>
      <c r="N685" s="194">
        <f>N686+N687</f>
        <v>0</v>
      </c>
      <c r="O685" s="194">
        <f ca="1">IF(L685&gt;0,N685*100/L685,0)</f>
        <v>0</v>
      </c>
      <c r="P685" s="194">
        <f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184</v>
      </c>
      <c r="F686" s="758"/>
      <c r="G686" s="602"/>
      <c r="H686" s="164" t="s">
        <v>12</v>
      </c>
      <c r="I686" s="616"/>
      <c r="J686" s="616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185</v>
      </c>
      <c r="F687" s="758"/>
      <c r="G687" s="602"/>
      <c r="H687" s="164" t="s">
        <v>12</v>
      </c>
      <c r="I687" s="616"/>
      <c r="J687" s="616"/>
      <c r="K687" s="92"/>
      <c r="L687" s="92">
        <f t="shared" ca="1" si="97"/>
        <v>0</v>
      </c>
      <c r="M687" s="92">
        <f t="shared" si="97"/>
        <v>0</v>
      </c>
      <c r="N687" s="92">
        <f t="shared" si="97"/>
        <v>0</v>
      </c>
      <c r="O687" s="92">
        <f ca="1">IF(L687&gt;0,N687*100/L687,0)</f>
        <v>0</v>
      </c>
      <c r="P687" s="92">
        <f>IF(M687&gt;0,N687*100/M687,0)</f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8"/>
      <c r="H688" s="160" t="s">
        <v>12</v>
      </c>
      <c r="I688" s="183"/>
      <c r="J688" s="183"/>
      <c r="K688" s="162"/>
      <c r="L688" s="497">
        <f ca="1">L689+L690</f>
        <v>0</v>
      </c>
      <c r="M688" s="497">
        <f>M689+M690</f>
        <v>0</v>
      </c>
      <c r="N688" s="497">
        <f>N689+N690</f>
        <v>0</v>
      </c>
      <c r="O688" s="497">
        <f ca="1">IF(L688&gt;0,N688*100/L688,0)</f>
        <v>0</v>
      </c>
      <c r="P688" s="497">
        <f>IF(M688&gt;0,N688*100/M688,0)</f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184</v>
      </c>
      <c r="F689" s="758"/>
      <c r="G689" s="602"/>
      <c r="H689" s="164" t="s">
        <v>12</v>
      </c>
      <c r="I689" s="616"/>
      <c r="J689" s="616"/>
      <c r="K689" s="92"/>
      <c r="L689" s="92">
        <v>0</v>
      </c>
      <c r="M689" s="92">
        <v>0</v>
      </c>
      <c r="N689" s="92">
        <v>0</v>
      </c>
      <c r="O689" s="92"/>
      <c r="P689" s="92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185</v>
      </c>
      <c r="F690" s="758"/>
      <c r="G690" s="602"/>
      <c r="H690" s="164" t="s">
        <v>12</v>
      </c>
      <c r="I690" s="616"/>
      <c r="J690" s="616"/>
      <c r="K690" s="92"/>
      <c r="L690" s="92">
        <f ca="1">IFERROR(__xludf.DUMMYFUNCTION("IMPORTRANGE(""https://docs.google.com/spreadsheets/d/1QqKyyYR6Q21VydFLVH3TRQUabQu_ym0Zz7PgGX0-kHA/edit?usp=sharing"",""แผน!HW76"")"),0)</f>
        <v>0</v>
      </c>
      <c r="M690" s="92">
        <v>0</v>
      </c>
      <c r="N690" s="92">
        <f>N691+N692+N693+N694</f>
        <v>0</v>
      </c>
      <c r="O690" s="92">
        <f ca="1">IF(L690&gt;0,N690*100/L690,0)</f>
        <v>0</v>
      </c>
      <c r="P690" s="92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826">
        <v>0</v>
      </c>
      <c r="O691" s="497"/>
      <c r="P691" s="497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826">
        <v>0</v>
      </c>
      <c r="O692" s="497"/>
      <c r="P692" s="497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826">
        <v>0</v>
      </c>
      <c r="O693" s="497"/>
      <c r="P693" s="497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826">
        <v>0</v>
      </c>
      <c r="O694" s="497"/>
      <c r="P694" s="497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38" t="s">
        <v>38</v>
      </c>
      <c r="E698" s="760"/>
      <c r="F698" s="760"/>
      <c r="G698" s="612"/>
      <c r="H698" s="761"/>
      <c r="I698" s="183"/>
      <c r="J698" s="183"/>
      <c r="K698" s="162"/>
      <c r="L698" s="162"/>
      <c r="M698" s="162"/>
      <c r="N698" s="162"/>
      <c r="O698" s="162"/>
      <c r="P698" s="162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294</v>
      </c>
      <c r="E699" s="762"/>
      <c r="F699" s="762"/>
      <c r="G699" s="188"/>
      <c r="H699" s="763" t="s">
        <v>46</v>
      </c>
      <c r="I699" s="764">
        <f ca="1">IFERROR(__xludf.DUMMYFUNCTION("IMPORTRANGE(""https://docs.google.com/spreadsheets/d/1QqKyyYR6Q21VydFLVH3TRQUabQu_ym0Zz7PgGX0-kHA/edit?usp=sharing"",""แผน!IC76"")"),0)</f>
        <v>0</v>
      </c>
      <c r="J699" s="269">
        <f ca="1">IFERROR(__xludf.DUMMYFUNCTION("IMPORTRANGE(""https://docs.google.com/spreadsheets/d/1XWAQStnk-4SwqDmLtmXYiTMKHgktTP8We1SCoS47DrQ/edit?usp=sharing"",""จัดที่ดิน!BB76"")"),0)</f>
        <v>0</v>
      </c>
      <c r="K699" s="497">
        <f ca="1">IF(I699&gt;0,J699*100/I699,0)</f>
        <v>0</v>
      </c>
      <c r="L699" s="497"/>
      <c r="M699" s="188"/>
      <c r="N699" s="765"/>
      <c r="O699" s="497"/>
      <c r="P699" s="497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295</v>
      </c>
      <c r="E700" s="762"/>
      <c r="F700" s="762"/>
      <c r="G700" s="188"/>
      <c r="H700" s="763" t="s">
        <v>35</v>
      </c>
      <c r="I700" s="764">
        <f ca="1">IFERROR(__xludf.DUMMYFUNCTION("IMPORTRANGE(""https://docs.google.com/spreadsheets/d/1QqKyyYR6Q21VydFLVH3TRQUabQu_ym0Zz7PgGX0-kHA/edit?usp=sharing"",""แผน!ID76"")"),0)</f>
        <v>0</v>
      </c>
      <c r="J700" s="269">
        <f ca="1">IFERROR(__xludf.DUMMYFUNCTION("IMPORTRANGE(""https://docs.google.com/spreadsheets/d/1XWAQStnk-4SwqDmLtmXYiTMKHgktTP8We1SCoS47DrQ/edit?usp=sharing"",""จัดที่ดิน!BD76"")"),0)</f>
        <v>0</v>
      </c>
      <c r="K700" s="497">
        <f ca="1">IF(I700&gt;0,J700*100/I700,0)</f>
        <v>0</v>
      </c>
      <c r="L700" s="497"/>
      <c r="M700" s="188"/>
      <c r="N700" s="765"/>
      <c r="O700" s="497"/>
      <c r="P700" s="497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296</v>
      </c>
      <c r="E701" s="762"/>
      <c r="F701" s="762"/>
      <c r="G701" s="188"/>
      <c r="H701" s="766" t="s">
        <v>46</v>
      </c>
      <c r="I701" s="767">
        <f ca="1">IFERROR(__xludf.DUMMYFUNCTION("IMPORTRANGE(""https://docs.google.com/spreadsheets/d/1QqKyyYR6Q21VydFLVH3TRQUabQu_ym0Zz7PgGX0-kHA/edit?usp=sharing"",""แผน!IE76"")"),0)</f>
        <v>0</v>
      </c>
      <c r="J701" s="680">
        <f>J704+J707</f>
        <v>0</v>
      </c>
      <c r="K701" s="194">
        <f ca="1">IF(I701&gt;0,J701*100/I701,0)</f>
        <v>0</v>
      </c>
      <c r="L701" s="497"/>
      <c r="M701" s="188"/>
      <c r="N701" s="765"/>
      <c r="O701" s="497"/>
      <c r="P701" s="497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297</v>
      </c>
      <c r="F702" s="762"/>
      <c r="G702" s="188"/>
      <c r="H702" s="763" t="s">
        <v>35</v>
      </c>
      <c r="I702" s="764"/>
      <c r="J702" s="214">
        <v>0</v>
      </c>
      <c r="K702" s="497"/>
      <c r="L702" s="497"/>
      <c r="M702" s="188"/>
      <c r="N702" s="765"/>
      <c r="O702" s="497"/>
      <c r="P702" s="497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8"/>
      <c r="H703" s="763" t="s">
        <v>34</v>
      </c>
      <c r="I703" s="764"/>
      <c r="J703" s="214">
        <v>0</v>
      </c>
      <c r="K703" s="497"/>
      <c r="L703" s="497"/>
      <c r="M703" s="188"/>
      <c r="N703" s="765"/>
      <c r="O703" s="497"/>
      <c r="P703" s="497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8"/>
      <c r="H704" s="763" t="s">
        <v>46</v>
      </c>
      <c r="I704" s="764">
        <f ca="1">IFERROR(__xludf.DUMMYFUNCTION("IMPORTRANGE(""https://docs.google.com/spreadsheets/d/1QqKyyYR6Q21VydFLVH3TRQUabQu_ym0Zz7PgGX0-kHA/edit?usp=sharing"",""แผน!IF76"")"),0)</f>
        <v>0</v>
      </c>
      <c r="J704" s="214">
        <v>0</v>
      </c>
      <c r="K704" s="497"/>
      <c r="L704" s="497"/>
      <c r="M704" s="188"/>
      <c r="N704" s="765"/>
      <c r="O704" s="497"/>
      <c r="P704" s="497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298</v>
      </c>
      <c r="F705" s="762"/>
      <c r="G705" s="188"/>
      <c r="H705" s="763" t="s">
        <v>35</v>
      </c>
      <c r="I705" s="764"/>
      <c r="J705" s="214">
        <v>0</v>
      </c>
      <c r="K705" s="497"/>
      <c r="L705" s="497"/>
      <c r="M705" s="188"/>
      <c r="N705" s="765"/>
      <c r="O705" s="497"/>
      <c r="P705" s="497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8"/>
      <c r="H706" s="763" t="s">
        <v>34</v>
      </c>
      <c r="I706" s="764"/>
      <c r="J706" s="214">
        <v>0</v>
      </c>
      <c r="K706" s="497"/>
      <c r="L706" s="497"/>
      <c r="M706" s="188"/>
      <c r="N706" s="765"/>
      <c r="O706" s="497"/>
      <c r="P706" s="497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8"/>
      <c r="H707" s="763" t="s">
        <v>46</v>
      </c>
      <c r="I707" s="764">
        <f ca="1">IFERROR(__xludf.DUMMYFUNCTION("IMPORTRANGE(""https://docs.google.com/spreadsheets/d/1QqKyyYR6Q21VydFLVH3TRQUabQu_ym0Zz7PgGX0-kHA/edit?usp=sharing"",""แผน!IG76"")"),0)</f>
        <v>0</v>
      </c>
      <c r="J707" s="214">
        <v>0</v>
      </c>
      <c r="K707" s="497"/>
      <c r="L707" s="497"/>
      <c r="M707" s="188"/>
      <c r="N707" s="765"/>
      <c r="O707" s="497"/>
      <c r="P707" s="497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299</v>
      </c>
      <c r="E708" s="762"/>
      <c r="F708" s="762"/>
      <c r="G708" s="188"/>
      <c r="H708" s="766" t="s">
        <v>46</v>
      </c>
      <c r="I708" s="767">
        <f ca="1">IFERROR(__xludf.DUMMYFUNCTION("IMPORTRANGE(""https://docs.google.com/spreadsheets/d/1QqKyyYR6Q21VydFLVH3TRQUabQu_ym0Zz7PgGX0-kHA/edit?usp=sharing"",""แผน!IH76"")"),0)</f>
        <v>0</v>
      </c>
      <c r="J708" s="680">
        <f>J714+J717</f>
        <v>0</v>
      </c>
      <c r="K708" s="194">
        <f ca="1">IF(I708&gt;0,J708*100/I708,0)</f>
        <v>0</v>
      </c>
      <c r="L708" s="497"/>
      <c r="M708" s="188"/>
      <c r="N708" s="765"/>
      <c r="O708" s="497"/>
      <c r="P708" s="497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300</v>
      </c>
      <c r="F709" s="762"/>
      <c r="G709" s="188"/>
      <c r="H709" s="763" t="s">
        <v>34</v>
      </c>
      <c r="I709" s="764"/>
      <c r="J709" s="214">
        <v>0</v>
      </c>
      <c r="K709" s="497"/>
      <c r="L709" s="765"/>
      <c r="M709" s="188"/>
      <c r="N709" s="765"/>
      <c r="O709" s="497"/>
      <c r="P709" s="497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8"/>
      <c r="H710" s="763" t="s">
        <v>46</v>
      </c>
      <c r="I710" s="764"/>
      <c r="J710" s="214">
        <v>0</v>
      </c>
      <c r="K710" s="497"/>
      <c r="L710" s="765"/>
      <c r="M710" s="188"/>
      <c r="N710" s="765"/>
      <c r="O710" s="497"/>
      <c r="P710" s="497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301</v>
      </c>
      <c r="F711" s="762"/>
      <c r="G711" s="188"/>
      <c r="H711" s="761"/>
      <c r="I711" s="764"/>
      <c r="J711" s="269"/>
      <c r="K711" s="497"/>
      <c r="L711" s="765"/>
      <c r="M711" s="188"/>
      <c r="N711" s="765"/>
      <c r="O711" s="497"/>
      <c r="P711" s="497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302</v>
      </c>
      <c r="G712" s="188"/>
      <c r="H712" s="763" t="s">
        <v>35</v>
      </c>
      <c r="I712" s="764"/>
      <c r="J712" s="214">
        <v>0</v>
      </c>
      <c r="K712" s="497"/>
      <c r="L712" s="765"/>
      <c r="M712" s="188"/>
      <c r="N712" s="765"/>
      <c r="O712" s="497"/>
      <c r="P712" s="497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8"/>
      <c r="H713" s="763" t="s">
        <v>34</v>
      </c>
      <c r="I713" s="764"/>
      <c r="J713" s="214">
        <v>0</v>
      </c>
      <c r="K713" s="497"/>
      <c r="L713" s="765"/>
      <c r="M713" s="188"/>
      <c r="N713" s="765"/>
      <c r="O713" s="497"/>
      <c r="P713" s="497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8"/>
      <c r="H714" s="763" t="s">
        <v>46</v>
      </c>
      <c r="I714" s="764"/>
      <c r="J714" s="214">
        <v>0</v>
      </c>
      <c r="K714" s="497"/>
      <c r="L714" s="765"/>
      <c r="M714" s="188"/>
      <c r="N714" s="765"/>
      <c r="O714" s="497"/>
      <c r="P714" s="497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303</v>
      </c>
      <c r="G715" s="188"/>
      <c r="H715" s="763" t="s">
        <v>35</v>
      </c>
      <c r="I715" s="764"/>
      <c r="J715" s="214">
        <v>0</v>
      </c>
      <c r="K715" s="497"/>
      <c r="L715" s="765"/>
      <c r="M715" s="188"/>
      <c r="N715" s="765"/>
      <c r="O715" s="497"/>
      <c r="P715" s="497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8"/>
      <c r="H716" s="763" t="s">
        <v>34</v>
      </c>
      <c r="I716" s="764"/>
      <c r="J716" s="214">
        <v>0</v>
      </c>
      <c r="K716" s="497"/>
      <c r="L716" s="765"/>
      <c r="M716" s="188"/>
      <c r="N716" s="765"/>
      <c r="O716" s="497"/>
      <c r="P716" s="497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8"/>
      <c r="H717" s="763" t="s">
        <v>46</v>
      </c>
      <c r="I717" s="764"/>
      <c r="J717" s="214">
        <v>0</v>
      </c>
      <c r="K717" s="497"/>
      <c r="L717" s="765"/>
      <c r="M717" s="188"/>
      <c r="N717" s="765"/>
      <c r="O717" s="497"/>
      <c r="P717" s="497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304</v>
      </c>
      <c r="E718" s="762"/>
      <c r="F718" s="762"/>
      <c r="G718" s="188"/>
      <c r="H718" s="763" t="s">
        <v>35</v>
      </c>
      <c r="I718" s="764"/>
      <c r="J718" s="269">
        <f ca="1">IFERROR(__xludf.DUMMYFUNCTION("IMPORTRANGE(""https://docs.google.com/spreadsheets/d/1XWAQStnk-4SwqDmLtmXYiTMKHgktTP8We1SCoS47DrQ/edit?usp=sharing"",""จัดที่ดิน!BF76"")"),0)</f>
        <v>0</v>
      </c>
      <c r="K718" s="497"/>
      <c r="L718" s="497"/>
      <c r="M718" s="188"/>
      <c r="N718" s="765"/>
      <c r="O718" s="497"/>
      <c r="P718" s="497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8"/>
      <c r="H719" s="763" t="s">
        <v>34</v>
      </c>
      <c r="I719" s="764"/>
      <c r="J719" s="269">
        <f ca="1">IFERROR(__xludf.DUMMYFUNCTION("IMPORTRANGE(""https://docs.google.com/spreadsheets/d/1XWAQStnk-4SwqDmLtmXYiTMKHgktTP8We1SCoS47DrQ/edit?usp=sharing"",""จัดที่ดิน!BG76"")"),0)</f>
        <v>0</v>
      </c>
      <c r="K719" s="497"/>
      <c r="L719" s="765"/>
      <c r="M719" s="188"/>
      <c r="N719" s="765"/>
      <c r="O719" s="497"/>
      <c r="P719" s="497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8"/>
      <c r="H720" s="763" t="s">
        <v>46</v>
      </c>
      <c r="I720" s="764">
        <f ca="1">IFERROR(__xludf.DUMMYFUNCTION("IMPORTRANGE(""https://docs.google.com/spreadsheets/d/1QqKyyYR6Q21VydFLVH3TRQUabQu_ym0Zz7PgGX0-kHA/edit?usp=sharing"",""แผน!II76"")"),0)</f>
        <v>0</v>
      </c>
      <c r="J720" s="269">
        <f ca="1">IFERROR(__xludf.DUMMYFUNCTION("IMPORTRANGE(""https://docs.google.com/spreadsheets/d/1XWAQStnk-4SwqDmLtmXYiTMKHgktTP8We1SCoS47DrQ/edit?usp=sharing"",""จัดที่ดิน!BH76"")"),0)</f>
        <v>0</v>
      </c>
      <c r="K720" s="497">
        <f ca="1">IF(I720&gt;0,J720*100/I720,0)</f>
        <v>0</v>
      </c>
      <c r="L720" s="765"/>
      <c r="M720" s="188"/>
      <c r="N720" s="765"/>
      <c r="O720" s="497"/>
      <c r="P720" s="497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305</v>
      </c>
      <c r="E721" s="762"/>
      <c r="F721" s="762"/>
      <c r="G721" s="188"/>
      <c r="H721" s="766" t="s">
        <v>35</v>
      </c>
      <c r="I721" s="767">
        <f ca="1">IFERROR(__xludf.DUMMYFUNCTION("IMPORTRANGE(""https://docs.google.com/spreadsheets/d/1QqKyyYR6Q21VydFLVH3TRQUabQu_ym0Zz7PgGX0-kHA/edit?usp=sharing"",""แผน!IJ76"")"),0)</f>
        <v>0</v>
      </c>
      <c r="J721" s="680">
        <f ca="1">J723+J726</f>
        <v>0</v>
      </c>
      <c r="K721" s="194">
        <f ca="1">IF(I721&gt;0,J721*100/I721,0)</f>
        <v>0</v>
      </c>
      <c r="L721" s="765"/>
      <c r="M721" s="188"/>
      <c r="N721" s="765"/>
      <c r="O721" s="497"/>
      <c r="P721" s="497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8"/>
      <c r="H722" s="766" t="s">
        <v>46</v>
      </c>
      <c r="I722" s="767">
        <f ca="1">IFERROR(__xludf.DUMMYFUNCTION("IMPORTRANGE(""https://docs.google.com/spreadsheets/d/1QqKyyYR6Q21VydFLVH3TRQUabQu_ym0Zz7PgGX0-kHA/edit?usp=sharing"",""แผน!IK76"")"),0)</f>
        <v>0</v>
      </c>
      <c r="J722" s="680">
        <f ca="1">J725+J728</f>
        <v>0</v>
      </c>
      <c r="K722" s="194">
        <f ca="1">IF(I722&gt;0,J722*100/I722,0)</f>
        <v>0</v>
      </c>
      <c r="L722" s="497"/>
      <c r="M722" s="188"/>
      <c r="N722" s="765"/>
      <c r="O722" s="497"/>
      <c r="P722" s="497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306</v>
      </c>
      <c r="F723" s="762"/>
      <c r="G723" s="188"/>
      <c r="H723" s="763" t="s">
        <v>35</v>
      </c>
      <c r="I723" s="764">
        <f ca="1">IFERROR(__xludf.DUMMYFUNCTION("IMPORTRANGE(""https://docs.google.com/spreadsheets/d/1QqKyyYR6Q21VydFLVH3TRQUabQu_ym0Zz7PgGX0-kHA/edit?usp=sharing"",""แผน!IL76"")"),0)</f>
        <v>0</v>
      </c>
      <c r="J723" s="269">
        <f ca="1">IFERROR(__xludf.DUMMYFUNCTION("IMPORTRANGE(""https://docs.google.com/spreadsheets/d/1XWAQStnk-4SwqDmLtmXYiTMKHgktTP8We1SCoS47DrQ/edit?usp=sharing"",""จัดที่ดิน!BM76"")"),0)</f>
        <v>0</v>
      </c>
      <c r="K723" s="497">
        <f ca="1">IF(I723&gt;0,J723*100/I723,0)</f>
        <v>0</v>
      </c>
      <c r="L723" s="497"/>
      <c r="M723" s="188"/>
      <c r="N723" s="765"/>
      <c r="O723" s="497"/>
      <c r="P723" s="497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8"/>
      <c r="H724" s="763" t="s">
        <v>34</v>
      </c>
      <c r="I724" s="764"/>
      <c r="J724" s="269">
        <f ca="1">IFERROR(__xludf.DUMMYFUNCTION("IMPORTRANGE(""https://docs.google.com/spreadsheets/d/1XWAQStnk-4SwqDmLtmXYiTMKHgktTP8We1SCoS47DrQ/edit?usp=sharing"",""จัดที่ดิน!BN76"")"),0)</f>
        <v>0</v>
      </c>
      <c r="K724" s="497"/>
      <c r="L724" s="765"/>
      <c r="M724" s="188"/>
      <c r="N724" s="765"/>
      <c r="O724" s="497"/>
      <c r="P724" s="497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8"/>
      <c r="H725" s="763" t="s">
        <v>46</v>
      </c>
      <c r="I725" s="764">
        <f ca="1">IFERROR(__xludf.DUMMYFUNCTION("IMPORTRANGE(""https://docs.google.com/spreadsheets/d/1QqKyyYR6Q21VydFLVH3TRQUabQu_ym0Zz7PgGX0-kHA/edit?usp=sharing"",""แผน!IM76"")"),0)</f>
        <v>0</v>
      </c>
      <c r="J725" s="269">
        <f ca="1">IFERROR(__xludf.DUMMYFUNCTION("IMPORTRANGE(""https://docs.google.com/spreadsheets/d/1XWAQStnk-4SwqDmLtmXYiTMKHgktTP8We1SCoS47DrQ/edit?usp=sharing"",""จัดที่ดิน!BO76"")"),0)</f>
        <v>0</v>
      </c>
      <c r="K725" s="497">
        <f ca="1">IF(I725&gt;0,J725*100/I725,0)</f>
        <v>0</v>
      </c>
      <c r="L725" s="765"/>
      <c r="M725" s="188"/>
      <c r="N725" s="765"/>
      <c r="O725" s="497"/>
      <c r="P725" s="497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307</v>
      </c>
      <c r="F726" s="762"/>
      <c r="G726" s="188"/>
      <c r="H726" s="763" t="s">
        <v>35</v>
      </c>
      <c r="I726" s="764">
        <f ca="1">IFERROR(__xludf.DUMMYFUNCTION("IMPORTRANGE(""https://docs.google.com/spreadsheets/d/1QqKyyYR6Q21VydFLVH3TRQUabQu_ym0Zz7PgGX0-kHA/edit?usp=sharing"",""แผน!IN76"")"),0)</f>
        <v>0</v>
      </c>
      <c r="J726" s="269">
        <f ca="1">IFERROR(__xludf.DUMMYFUNCTION("IMPORTRANGE(""https://docs.google.com/spreadsheets/d/1XWAQStnk-4SwqDmLtmXYiTMKHgktTP8We1SCoS47DrQ/edit?usp=sharing"",""จัดที่ดิน!BR76"")"),0)</f>
        <v>0</v>
      </c>
      <c r="K726" s="497">
        <f ca="1">IF(I726&gt;0,J726*100/I726,0)</f>
        <v>0</v>
      </c>
      <c r="L726" s="497"/>
      <c r="M726" s="188"/>
      <c r="N726" s="765"/>
      <c r="O726" s="497"/>
      <c r="P726" s="497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8"/>
      <c r="H727" s="763" t="s">
        <v>34</v>
      </c>
      <c r="I727" s="764"/>
      <c r="J727" s="269">
        <f ca="1">IFERROR(__xludf.DUMMYFUNCTION("IMPORTRANGE(""https://docs.google.com/spreadsheets/d/1XWAQStnk-4SwqDmLtmXYiTMKHgktTP8We1SCoS47DrQ/edit?usp=sharing"",""จัดที่ดิน!BS76"")"),0)</f>
        <v>0</v>
      </c>
      <c r="K727" s="497"/>
      <c r="L727" s="765"/>
      <c r="M727" s="188"/>
      <c r="N727" s="765"/>
      <c r="O727" s="497"/>
      <c r="P727" s="497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8"/>
      <c r="H728" s="763" t="s">
        <v>46</v>
      </c>
      <c r="I728" s="764">
        <f ca="1">IFERROR(__xludf.DUMMYFUNCTION("IMPORTRANGE(""https://docs.google.com/spreadsheets/d/1QqKyyYR6Q21VydFLVH3TRQUabQu_ym0Zz7PgGX0-kHA/edit?usp=sharing"",""แผน!IO76"")"),0)</f>
        <v>0</v>
      </c>
      <c r="J728" s="269">
        <f ca="1">IFERROR(__xludf.DUMMYFUNCTION("IMPORTRANGE(""https://docs.google.com/spreadsheets/d/1XWAQStnk-4SwqDmLtmXYiTMKHgktTP8We1SCoS47DrQ/edit?usp=sharing"",""จัดที่ดิน!BT76"")"),0)</f>
        <v>0</v>
      </c>
      <c r="K728" s="497">
        <f ca="1">IF(I728&gt;0,J728*100/I728,0)</f>
        <v>0</v>
      </c>
      <c r="L728" s="765"/>
      <c r="M728" s="188"/>
      <c r="N728" s="765"/>
      <c r="O728" s="497"/>
      <c r="P728" s="497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308</v>
      </c>
      <c r="E729" s="762"/>
      <c r="F729" s="762"/>
      <c r="G729" s="188"/>
      <c r="H729" s="766" t="s">
        <v>46</v>
      </c>
      <c r="I729" s="767">
        <f ca="1">IFERROR(__xludf.DUMMYFUNCTION("IMPORTRANGE(""https://docs.google.com/spreadsheets/d/1QqKyyYR6Q21VydFLVH3TRQUabQu_ym0Zz7PgGX0-kHA/edit?usp=sharing"",""แผน!IP76"")"),0)</f>
        <v>0</v>
      </c>
      <c r="J729" s="680">
        <f>J732+J735</f>
        <v>0</v>
      </c>
      <c r="K729" s="194">
        <f ca="1">IF(I729&gt;0,J729*100/I729,0)</f>
        <v>0</v>
      </c>
      <c r="L729" s="497"/>
      <c r="M729" s="188"/>
      <c r="N729" s="765"/>
      <c r="O729" s="497"/>
      <c r="P729" s="497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309</v>
      </c>
      <c r="F730" s="762"/>
      <c r="G730" s="188"/>
      <c r="H730" s="763" t="s">
        <v>35</v>
      </c>
      <c r="I730" s="764"/>
      <c r="J730" s="214">
        <v>0</v>
      </c>
      <c r="K730" s="497"/>
      <c r="L730" s="765"/>
      <c r="M730" s="497"/>
      <c r="N730" s="765"/>
      <c r="O730" s="497"/>
      <c r="P730" s="497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8"/>
      <c r="H731" s="763" t="s">
        <v>34</v>
      </c>
      <c r="I731" s="764"/>
      <c r="J731" s="214">
        <v>0</v>
      </c>
      <c r="K731" s="497"/>
      <c r="L731" s="765"/>
      <c r="M731" s="497"/>
      <c r="N731" s="765"/>
      <c r="O731" s="497"/>
      <c r="P731" s="497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8"/>
      <c r="H732" s="763" t="s">
        <v>46</v>
      </c>
      <c r="I732" s="764"/>
      <c r="J732" s="214">
        <v>0</v>
      </c>
      <c r="K732" s="497"/>
      <c r="L732" s="765"/>
      <c r="M732" s="497"/>
      <c r="N732" s="765"/>
      <c r="O732" s="497"/>
      <c r="P732" s="497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310</v>
      </c>
      <c r="F733" s="762"/>
      <c r="G733" s="188"/>
      <c r="H733" s="763" t="s">
        <v>35</v>
      </c>
      <c r="I733" s="764"/>
      <c r="J733" s="214">
        <v>0</v>
      </c>
      <c r="K733" s="497"/>
      <c r="L733" s="765"/>
      <c r="M733" s="497"/>
      <c r="N733" s="765"/>
      <c r="O733" s="497"/>
      <c r="P733" s="497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8"/>
      <c r="H734" s="763" t="s">
        <v>34</v>
      </c>
      <c r="I734" s="764"/>
      <c r="J734" s="214">
        <v>0</v>
      </c>
      <c r="K734" s="497"/>
      <c r="L734" s="765"/>
      <c r="M734" s="497"/>
      <c r="N734" s="765"/>
      <c r="O734" s="497"/>
      <c r="P734" s="497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311</v>
      </c>
      <c r="C735" s="733"/>
      <c r="D735" s="733"/>
      <c r="E735" s="733"/>
      <c r="F735" s="733"/>
      <c r="G735" s="734"/>
      <c r="H735" s="422" t="s">
        <v>46</v>
      </c>
      <c r="I735" s="771"/>
      <c r="J735" s="424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312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92" t="s">
        <v>17</v>
      </c>
      <c r="E737" s="888"/>
      <c r="F737" s="888"/>
      <c r="G737" s="602"/>
      <c r="H737" s="645" t="s">
        <v>12</v>
      </c>
      <c r="I737" s="616"/>
      <c r="J737" s="616"/>
      <c r="K737" s="92"/>
      <c r="L737" s="646">
        <f>L738+L739</f>
        <v>0</v>
      </c>
      <c r="M737" s="646">
        <f>M738+M739</f>
        <v>0</v>
      </c>
      <c r="N737" s="646">
        <f>N738+N739</f>
        <v>0</v>
      </c>
      <c r="O737" s="646">
        <f t="shared" ref="O737:O742" si="98">IF(L737&gt;0,N737*100/L737,0)</f>
        <v>0</v>
      </c>
      <c r="P737" s="646">
        <f t="shared" ref="P737:P742" si="99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184</v>
      </c>
      <c r="F738" s="758"/>
      <c r="G738" s="602"/>
      <c r="H738" s="164" t="s">
        <v>12</v>
      </c>
      <c r="I738" s="616"/>
      <c r="J738" s="616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185</v>
      </c>
      <c r="F739" s="758"/>
      <c r="G739" s="602"/>
      <c r="H739" s="164" t="s">
        <v>12</v>
      </c>
      <c r="I739" s="616"/>
      <c r="J739" s="616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5"/>
      <c r="J740" s="165"/>
      <c r="K740" s="166"/>
      <c r="L740" s="646">
        <f>L741+L742</f>
        <v>0</v>
      </c>
      <c r="M740" s="646">
        <f>M741+M742</f>
        <v>0</v>
      </c>
      <c r="N740" s="646">
        <f>N741+N742</f>
        <v>0</v>
      </c>
      <c r="O740" s="646">
        <f t="shared" si="98"/>
        <v>0</v>
      </c>
      <c r="P740" s="646">
        <f t="shared" si="99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184</v>
      </c>
      <c r="F741" s="758"/>
      <c r="G741" s="602"/>
      <c r="H741" s="164" t="s">
        <v>12</v>
      </c>
      <c r="I741" s="616"/>
      <c r="J741" s="616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185</v>
      </c>
      <c r="F742" s="758"/>
      <c r="G742" s="602"/>
      <c r="H742" s="164" t="s">
        <v>12</v>
      </c>
      <c r="I742" s="616"/>
      <c r="J742" s="616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186</v>
      </c>
      <c r="G743" s="602"/>
      <c r="H743" s="164" t="s">
        <v>12</v>
      </c>
      <c r="I743" s="616"/>
      <c r="J743" s="616"/>
      <c r="K743" s="92"/>
      <c r="L743" s="92"/>
      <c r="M743" s="92"/>
      <c r="N743" s="92"/>
      <c r="O743" s="92"/>
      <c r="P743" s="92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187</v>
      </c>
      <c r="G744" s="602"/>
      <c r="H744" s="164" t="s">
        <v>12</v>
      </c>
      <c r="I744" s="616"/>
      <c r="J744" s="616"/>
      <c r="K744" s="92"/>
      <c r="L744" s="92"/>
      <c r="M744" s="92"/>
      <c r="N744" s="92"/>
      <c r="O744" s="92"/>
      <c r="P744" s="92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188</v>
      </c>
      <c r="G745" s="602"/>
      <c r="H745" s="164" t="s">
        <v>12</v>
      </c>
      <c r="I745" s="616"/>
      <c r="J745" s="616"/>
      <c r="K745" s="92"/>
      <c r="L745" s="92"/>
      <c r="M745" s="92"/>
      <c r="N745" s="92"/>
      <c r="O745" s="92"/>
      <c r="P745" s="92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189</v>
      </c>
      <c r="G746" s="602"/>
      <c r="H746" s="164" t="s">
        <v>12</v>
      </c>
      <c r="I746" s="616"/>
      <c r="J746" s="616"/>
      <c r="K746" s="92"/>
      <c r="L746" s="92"/>
      <c r="M746" s="92"/>
      <c r="N746" s="92"/>
      <c r="O746" s="92"/>
      <c r="P746" s="92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5"/>
      <c r="J747" s="165"/>
      <c r="K747" s="166"/>
      <c r="L747" s="646">
        <f>L748+L749</f>
        <v>0</v>
      </c>
      <c r="M747" s="646">
        <f>M748+M749</f>
        <v>0</v>
      </c>
      <c r="N747" s="646">
        <f>N748+N749</f>
        <v>0</v>
      </c>
      <c r="O747" s="646">
        <f>IF(L747&gt;0,N747*100/L747,0)</f>
        <v>0</v>
      </c>
      <c r="P747" s="646">
        <f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39" t="s">
        <v>38</v>
      </c>
      <c r="E750" s="650"/>
      <c r="F750" s="650"/>
      <c r="G750" s="651"/>
      <c r="H750" s="365"/>
      <c r="I750" s="165"/>
      <c r="J750" s="165"/>
      <c r="K750" s="166"/>
      <c r="L750" s="166"/>
      <c r="M750" s="166"/>
      <c r="N750" s="166"/>
      <c r="O750" s="166"/>
      <c r="P750" s="166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313</v>
      </c>
      <c r="F751" s="758"/>
      <c r="G751" s="602"/>
      <c r="H751" s="164" t="s">
        <v>46</v>
      </c>
      <c r="I751" s="616"/>
      <c r="J751" s="616"/>
      <c r="K751" s="92"/>
      <c r="L751" s="92"/>
      <c r="M751" s="92"/>
      <c r="N751" s="92"/>
      <c r="O751" s="92"/>
      <c r="P751" s="92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4" t="s">
        <v>314</v>
      </c>
      <c r="I752" s="616"/>
      <c r="J752" s="616"/>
      <c r="K752" s="92"/>
      <c r="L752" s="92"/>
      <c r="M752" s="92"/>
      <c r="N752" s="92"/>
      <c r="O752" s="92"/>
      <c r="P752" s="92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315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92" t="s">
        <v>17</v>
      </c>
      <c r="E754" s="888"/>
      <c r="F754" s="888"/>
      <c r="G754" s="602"/>
      <c r="H754" s="645" t="s">
        <v>12</v>
      </c>
      <c r="I754" s="616"/>
      <c r="J754" s="616"/>
      <c r="K754" s="92"/>
      <c r="L754" s="646">
        <f>L755+L756</f>
        <v>0</v>
      </c>
      <c r="M754" s="646">
        <f>M755+M756</f>
        <v>0</v>
      </c>
      <c r="N754" s="646">
        <f>N755+N756</f>
        <v>0</v>
      </c>
      <c r="O754" s="646">
        <f t="shared" ref="O754:O759" si="101">IF(L754&gt;0,N754*100/L754,0)</f>
        <v>0</v>
      </c>
      <c r="P754" s="646">
        <f t="shared" ref="P754:P759" si="102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184</v>
      </c>
      <c r="F755" s="758"/>
      <c r="G755" s="602"/>
      <c r="H755" s="164" t="s">
        <v>12</v>
      </c>
      <c r="I755" s="616"/>
      <c r="J755" s="616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185</v>
      </c>
      <c r="F756" s="758"/>
      <c r="G756" s="602"/>
      <c r="H756" s="164" t="s">
        <v>12</v>
      </c>
      <c r="I756" s="616"/>
      <c r="J756" s="616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5"/>
      <c r="J757" s="165"/>
      <c r="K757" s="166"/>
      <c r="L757" s="646">
        <f>L758+L759</f>
        <v>0</v>
      </c>
      <c r="M757" s="646">
        <f>M758+M759</f>
        <v>0</v>
      </c>
      <c r="N757" s="646">
        <f>N758+N759</f>
        <v>0</v>
      </c>
      <c r="O757" s="646">
        <f t="shared" si="101"/>
        <v>0</v>
      </c>
      <c r="P757" s="646">
        <f t="shared" si="102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184</v>
      </c>
      <c r="F758" s="758"/>
      <c r="G758" s="602"/>
      <c r="H758" s="164" t="s">
        <v>12</v>
      </c>
      <c r="I758" s="616"/>
      <c r="J758" s="616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185</v>
      </c>
      <c r="F759" s="758"/>
      <c r="G759" s="602"/>
      <c r="H759" s="164" t="s">
        <v>12</v>
      </c>
      <c r="I759" s="616"/>
      <c r="J759" s="616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186</v>
      </c>
      <c r="G760" s="602"/>
      <c r="H760" s="164" t="s">
        <v>12</v>
      </c>
      <c r="I760" s="616"/>
      <c r="J760" s="616"/>
      <c r="K760" s="92"/>
      <c r="L760" s="92"/>
      <c r="M760" s="92"/>
      <c r="N760" s="92"/>
      <c r="O760" s="92"/>
      <c r="P760" s="92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187</v>
      </c>
      <c r="G761" s="602"/>
      <c r="H761" s="164" t="s">
        <v>12</v>
      </c>
      <c r="I761" s="616"/>
      <c r="J761" s="616"/>
      <c r="K761" s="92"/>
      <c r="L761" s="92"/>
      <c r="M761" s="92"/>
      <c r="N761" s="92"/>
      <c r="O761" s="92"/>
      <c r="P761" s="92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188</v>
      </c>
      <c r="G762" s="602"/>
      <c r="H762" s="164" t="s">
        <v>12</v>
      </c>
      <c r="I762" s="616"/>
      <c r="J762" s="616"/>
      <c r="K762" s="92"/>
      <c r="L762" s="92"/>
      <c r="M762" s="92"/>
      <c r="N762" s="92"/>
      <c r="O762" s="92"/>
      <c r="P762" s="92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189</v>
      </c>
      <c r="G763" s="602"/>
      <c r="H763" s="164" t="s">
        <v>12</v>
      </c>
      <c r="I763" s="616"/>
      <c r="J763" s="616"/>
      <c r="K763" s="92"/>
      <c r="L763" s="92"/>
      <c r="M763" s="92"/>
      <c r="N763" s="92"/>
      <c r="O763" s="92"/>
      <c r="P763" s="92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5"/>
      <c r="J764" s="165"/>
      <c r="K764" s="166"/>
      <c r="L764" s="646">
        <f>L765+L766</f>
        <v>0</v>
      </c>
      <c r="M764" s="646">
        <f>M765+M766</f>
        <v>0</v>
      </c>
      <c r="N764" s="646">
        <f>N765+N766</f>
        <v>0</v>
      </c>
      <c r="O764" s="646">
        <f>IF(L764&gt;0,N764*100/L764,0)</f>
        <v>0</v>
      </c>
      <c r="P764" s="646">
        <f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39" t="s">
        <v>38</v>
      </c>
      <c r="E767" s="650"/>
      <c r="F767" s="650"/>
      <c r="G767" s="651"/>
      <c r="H767" s="365"/>
      <c r="I767" s="165"/>
      <c r="J767" s="165"/>
      <c r="K767" s="166"/>
      <c r="L767" s="166"/>
      <c r="M767" s="166"/>
      <c r="N767" s="166"/>
      <c r="O767" s="166"/>
      <c r="P767" s="166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316</v>
      </c>
      <c r="F768" s="758"/>
      <c r="G768" s="602"/>
      <c r="H768" s="164" t="s">
        <v>46</v>
      </c>
      <c r="I768" s="616"/>
      <c r="J768" s="616"/>
      <c r="K768" s="92"/>
      <c r="L768" s="92"/>
      <c r="M768" s="92"/>
      <c r="N768" s="92"/>
      <c r="O768" s="92"/>
      <c r="P768" s="92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317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92" t="s">
        <v>17</v>
      </c>
      <c r="E770" s="888"/>
      <c r="F770" s="888"/>
      <c r="G770" s="602"/>
      <c r="H770" s="645" t="s">
        <v>12</v>
      </c>
      <c r="I770" s="616"/>
      <c r="J770" s="616"/>
      <c r="K770" s="92"/>
      <c r="L770" s="646">
        <f>L771+L772</f>
        <v>0</v>
      </c>
      <c r="M770" s="646">
        <f>M771+M772</f>
        <v>0</v>
      </c>
      <c r="N770" s="646">
        <f>N771+N772</f>
        <v>0</v>
      </c>
      <c r="O770" s="646">
        <f t="shared" ref="O770:O775" si="104">IF(L770&gt;0,N770*100/L770,0)</f>
        <v>0</v>
      </c>
      <c r="P770" s="646">
        <f t="shared" ref="P770:P775" si="105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184</v>
      </c>
      <c r="F771" s="758"/>
      <c r="G771" s="602"/>
      <c r="H771" s="164" t="s">
        <v>12</v>
      </c>
      <c r="I771" s="616"/>
      <c r="J771" s="616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185</v>
      </c>
      <c r="F772" s="758"/>
      <c r="G772" s="602"/>
      <c r="H772" s="164" t="s">
        <v>12</v>
      </c>
      <c r="I772" s="616"/>
      <c r="J772" s="616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5"/>
      <c r="J773" s="165"/>
      <c r="K773" s="166"/>
      <c r="L773" s="646">
        <f>L774+L775</f>
        <v>0</v>
      </c>
      <c r="M773" s="646">
        <f>M774+M775</f>
        <v>0</v>
      </c>
      <c r="N773" s="646">
        <f>N774+N775</f>
        <v>0</v>
      </c>
      <c r="O773" s="646">
        <f t="shared" si="104"/>
        <v>0</v>
      </c>
      <c r="P773" s="646">
        <f t="shared" si="105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184</v>
      </c>
      <c r="F774" s="758"/>
      <c r="G774" s="602"/>
      <c r="H774" s="164" t="s">
        <v>12</v>
      </c>
      <c r="I774" s="616"/>
      <c r="J774" s="616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185</v>
      </c>
      <c r="F775" s="758"/>
      <c r="G775" s="602"/>
      <c r="H775" s="164" t="s">
        <v>12</v>
      </c>
      <c r="I775" s="616"/>
      <c r="J775" s="616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186</v>
      </c>
      <c r="G776" s="602"/>
      <c r="H776" s="164" t="s">
        <v>12</v>
      </c>
      <c r="I776" s="616"/>
      <c r="J776" s="616"/>
      <c r="K776" s="92"/>
      <c r="L776" s="92"/>
      <c r="M776" s="92"/>
      <c r="N776" s="92"/>
      <c r="O776" s="92"/>
      <c r="P776" s="92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187</v>
      </c>
      <c r="G777" s="602"/>
      <c r="H777" s="164" t="s">
        <v>12</v>
      </c>
      <c r="I777" s="616"/>
      <c r="J777" s="616"/>
      <c r="K777" s="92"/>
      <c r="L777" s="92"/>
      <c r="M777" s="92"/>
      <c r="N777" s="92"/>
      <c r="O777" s="92"/>
      <c r="P777" s="92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188</v>
      </c>
      <c r="G778" s="602"/>
      <c r="H778" s="164" t="s">
        <v>12</v>
      </c>
      <c r="I778" s="616"/>
      <c r="J778" s="616"/>
      <c r="K778" s="92"/>
      <c r="L778" s="92"/>
      <c r="M778" s="92"/>
      <c r="N778" s="92"/>
      <c r="O778" s="92"/>
      <c r="P778" s="92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189</v>
      </c>
      <c r="G779" s="602"/>
      <c r="H779" s="164" t="s">
        <v>12</v>
      </c>
      <c r="I779" s="616"/>
      <c r="J779" s="616"/>
      <c r="K779" s="92"/>
      <c r="L779" s="92"/>
      <c r="M779" s="92"/>
      <c r="N779" s="92"/>
      <c r="O779" s="92"/>
      <c r="P779" s="92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5"/>
      <c r="J780" s="165"/>
      <c r="K780" s="166"/>
      <c r="L780" s="646">
        <f>L781+L782</f>
        <v>0</v>
      </c>
      <c r="M780" s="646">
        <f>M781+M782</f>
        <v>0</v>
      </c>
      <c r="N780" s="646">
        <f>N781+N782</f>
        <v>0</v>
      </c>
      <c r="O780" s="646">
        <f>IF(L780&gt;0,N780*100/L780,0)</f>
        <v>0</v>
      </c>
      <c r="P780" s="646">
        <f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39" t="s">
        <v>38</v>
      </c>
      <c r="E783" s="650"/>
      <c r="F783" s="650"/>
      <c r="G783" s="651"/>
      <c r="H783" s="800"/>
      <c r="I783" s="165"/>
      <c r="J783" s="165"/>
      <c r="K783" s="166"/>
      <c r="L783" s="166"/>
      <c r="M783" s="166"/>
      <c r="N783" s="166"/>
      <c r="O783" s="166"/>
      <c r="P783" s="166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318</v>
      </c>
      <c r="F784" s="758"/>
      <c r="G784" s="602"/>
      <c r="H784" s="164" t="s">
        <v>46</v>
      </c>
      <c r="I784" s="616"/>
      <c r="J784" s="616"/>
      <c r="K784" s="92"/>
      <c r="L784" s="92"/>
      <c r="M784" s="92"/>
      <c r="N784" s="92"/>
      <c r="O784" s="92"/>
      <c r="P784" s="92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319</v>
      </c>
      <c r="C785" s="803"/>
      <c r="D785" s="803"/>
      <c r="E785" s="803"/>
      <c r="F785" s="803"/>
      <c r="G785" s="804"/>
      <c r="H785" s="805" t="s">
        <v>46</v>
      </c>
      <c r="I785" s="806">
        <f ca="1">I800</f>
        <v>0</v>
      </c>
      <c r="J785" s="807">
        <f ca="1">J800</f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87" t="s">
        <v>17</v>
      </c>
      <c r="E786" s="888"/>
      <c r="F786" s="888"/>
      <c r="G786" s="188"/>
      <c r="H786" s="597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184</v>
      </c>
      <c r="F787" s="758"/>
      <c r="G787" s="602"/>
      <c r="H787" s="164" t="s">
        <v>12</v>
      </c>
      <c r="I787" s="616"/>
      <c r="J787" s="616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185</v>
      </c>
      <c r="F788" s="758"/>
      <c r="G788" s="602"/>
      <c r="H788" s="164" t="s">
        <v>12</v>
      </c>
      <c r="I788" s="616"/>
      <c r="J788" s="616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184</v>
      </c>
      <c r="F790" s="758"/>
      <c r="G790" s="602"/>
      <c r="H790" s="164" t="s">
        <v>12</v>
      </c>
      <c r="I790" s="616"/>
      <c r="J790" s="616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185</v>
      </c>
      <c r="F791" s="758"/>
      <c r="G791" s="602"/>
      <c r="H791" s="164" t="s">
        <v>12</v>
      </c>
      <c r="I791" s="616"/>
      <c r="J791" s="616"/>
      <c r="K791" s="92"/>
      <c r="L791" s="92">
        <f ca="1">IFERROR(__xludf.DUMMYFUNCTION("IMPORTRANGE(""https://docs.google.com/spreadsheets/d/1QqKyyYR6Q21VydFLVH3TRQUabQu_ym0Zz7PgGX0-kHA/edit?usp=sharing"",""แผน!JJ76"")"),0)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826">
        <v>0</v>
      </c>
      <c r="O792" s="497"/>
      <c r="P792" s="497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826">
        <v>0</v>
      </c>
      <c r="O793" s="497"/>
      <c r="P793" s="497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826">
        <v>0</v>
      </c>
      <c r="O794" s="497"/>
      <c r="P794" s="497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826">
        <v>0</v>
      </c>
      <c r="O795" s="497"/>
      <c r="P795" s="497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38" t="s">
        <v>38</v>
      </c>
      <c r="E799" s="760"/>
      <c r="F799" s="760"/>
      <c r="G799" s="612"/>
      <c r="H799" s="810"/>
      <c r="I799" s="183"/>
      <c r="J799" s="183"/>
      <c r="K799" s="162"/>
      <c r="L799" s="162"/>
      <c r="M799" s="162"/>
      <c r="N799" s="162"/>
      <c r="O799" s="162"/>
      <c r="P799" s="162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320</v>
      </c>
      <c r="G800" s="761"/>
      <c r="H800" s="184" t="s">
        <v>46</v>
      </c>
      <c r="I800" s="183">
        <f ca="1">IFERROR(__xludf.DUMMYFUNCTION("IMPORTRANGE(""https://docs.google.com/spreadsheets/d/1QqKyyYR6Q21VydFLVH3TRQUabQu_ym0Zz7PgGX0-kHA/edit?usp=sharing"",""แผน!JN76"")"),0)</f>
        <v>0</v>
      </c>
      <c r="J800" s="183">
        <f ca="1">IFERROR(__xludf.DUMMYFUNCTION("IMPORTRANGE(""https://docs.google.com/spreadsheets/d/1MaWodYyGHDf7siQLGxnXhG4mBNTNIuy296niS2xXulU/edit?usp=sharing"",""RTK!H76"")"),0)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IFERROR(__xludf.DUMMYFUNCTION("IMPORTRANGE(""https://docs.google.com/spreadsheets/d/1MaWodYyGHDf7siQLGxnXhG4mBNTNIuy296niS2xXulU/edit?usp=sharing"",""RTK!I76"")"),0)</f>
        <v>0</v>
      </c>
      <c r="K801" s="497"/>
      <c r="L801" s="497"/>
      <c r="M801" s="497"/>
      <c r="N801" s="497"/>
      <c r="O801" s="162"/>
      <c r="P801" s="162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321</v>
      </c>
      <c r="G802" s="365"/>
      <c r="H802" s="652" t="s">
        <v>46</v>
      </c>
      <c r="I802" s="165"/>
      <c r="J802" s="616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5"/>
      <c r="H803" s="652" t="s">
        <v>34</v>
      </c>
      <c r="I803" s="165"/>
      <c r="J803" s="616">
        <v>0</v>
      </c>
      <c r="K803" s="166"/>
      <c r="L803" s="166"/>
      <c r="M803" s="166"/>
      <c r="N803" s="166"/>
      <c r="O803" s="166"/>
      <c r="P803" s="166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322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92" t="s">
        <v>17</v>
      </c>
      <c r="E805" s="888"/>
      <c r="F805" s="888"/>
      <c r="G805" s="602"/>
      <c r="H805" s="645" t="s">
        <v>12</v>
      </c>
      <c r="I805" s="616"/>
      <c r="J805" s="616"/>
      <c r="K805" s="92"/>
      <c r="L805" s="646">
        <f>L806+L807</f>
        <v>0</v>
      </c>
      <c r="M805" s="646">
        <f>M806+M807</f>
        <v>0</v>
      </c>
      <c r="N805" s="646">
        <f>N806+N807</f>
        <v>0</v>
      </c>
      <c r="O805" s="646">
        <f t="shared" ref="O805:O810" si="110">IF(L805&gt;0,N805*100/L805,0)</f>
        <v>0</v>
      </c>
      <c r="P805" s="646">
        <f t="shared" ref="P805:P810" si="111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184</v>
      </c>
      <c r="F806" s="758"/>
      <c r="G806" s="602"/>
      <c r="H806" s="164" t="s">
        <v>12</v>
      </c>
      <c r="I806" s="616"/>
      <c r="J806" s="616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185</v>
      </c>
      <c r="F807" s="758"/>
      <c r="G807" s="602"/>
      <c r="H807" s="164" t="s">
        <v>12</v>
      </c>
      <c r="I807" s="616"/>
      <c r="J807" s="616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912" t="s">
        <v>20</v>
      </c>
      <c r="E808" s="888"/>
      <c r="F808" s="888"/>
      <c r="G808" s="602"/>
      <c r="H808" s="645" t="s">
        <v>12</v>
      </c>
      <c r="I808" s="165"/>
      <c r="J808" s="165"/>
      <c r="K808" s="166"/>
      <c r="L808" s="646">
        <f>L809+L810</f>
        <v>0</v>
      </c>
      <c r="M808" s="646">
        <f>M809+M810</f>
        <v>0</v>
      </c>
      <c r="N808" s="646">
        <f>N809+N810</f>
        <v>0</v>
      </c>
      <c r="O808" s="646">
        <f t="shared" si="110"/>
        <v>0</v>
      </c>
      <c r="P808" s="646">
        <f t="shared" si="111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184</v>
      </c>
      <c r="F809" s="758"/>
      <c r="G809" s="602"/>
      <c r="H809" s="164" t="s">
        <v>12</v>
      </c>
      <c r="I809" s="616"/>
      <c r="J809" s="616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185</v>
      </c>
      <c r="F810" s="758"/>
      <c r="G810" s="602"/>
      <c r="H810" s="164" t="s">
        <v>12</v>
      </c>
      <c r="I810" s="616"/>
      <c r="J810" s="616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186</v>
      </c>
      <c r="G811" s="602"/>
      <c r="H811" s="164" t="s">
        <v>12</v>
      </c>
      <c r="I811" s="616"/>
      <c r="J811" s="616"/>
      <c r="K811" s="92"/>
      <c r="L811" s="92"/>
      <c r="M811" s="92"/>
      <c r="N811" s="92"/>
      <c r="O811" s="92"/>
      <c r="P811" s="92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187</v>
      </c>
      <c r="G812" s="602"/>
      <c r="H812" s="164" t="s">
        <v>12</v>
      </c>
      <c r="I812" s="616"/>
      <c r="J812" s="616"/>
      <c r="K812" s="92"/>
      <c r="L812" s="92"/>
      <c r="M812" s="92"/>
      <c r="N812" s="92"/>
      <c r="O812" s="92"/>
      <c r="P812" s="92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188</v>
      </c>
      <c r="G813" s="602"/>
      <c r="H813" s="164" t="s">
        <v>12</v>
      </c>
      <c r="I813" s="616"/>
      <c r="J813" s="616"/>
      <c r="K813" s="92"/>
      <c r="L813" s="92"/>
      <c r="M813" s="92"/>
      <c r="N813" s="92"/>
      <c r="O813" s="92"/>
      <c r="P813" s="92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189</v>
      </c>
      <c r="G814" s="602"/>
      <c r="H814" s="164" t="s">
        <v>12</v>
      </c>
      <c r="I814" s="616"/>
      <c r="J814" s="616"/>
      <c r="K814" s="92"/>
      <c r="L814" s="92"/>
      <c r="M814" s="92"/>
      <c r="N814" s="92"/>
      <c r="O814" s="92"/>
      <c r="P814" s="92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912" t="s">
        <v>21</v>
      </c>
      <c r="E815" s="888"/>
      <c r="F815" s="888"/>
      <c r="G815" s="602"/>
      <c r="H815" s="782" t="s">
        <v>12</v>
      </c>
      <c r="I815" s="165"/>
      <c r="J815" s="165"/>
      <c r="K815" s="166"/>
      <c r="L815" s="646">
        <f>L816+L817</f>
        <v>0</v>
      </c>
      <c r="M815" s="646">
        <f>M816+M817</f>
        <v>0</v>
      </c>
      <c r="N815" s="646">
        <f>N816+N817</f>
        <v>0</v>
      </c>
      <c r="O815" s="646">
        <f>IF(L815&gt;0,N815*100/L815,0)</f>
        <v>0</v>
      </c>
      <c r="P815" s="646">
        <f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37" t="s">
        <v>38</v>
      </c>
      <c r="E818" s="650"/>
      <c r="F818" s="650"/>
      <c r="G818" s="651"/>
      <c r="H818" s="365"/>
      <c r="I818" s="165"/>
      <c r="J818" s="165"/>
      <c r="K818" s="166"/>
      <c r="L818" s="166"/>
      <c r="M818" s="166"/>
      <c r="N818" s="166"/>
      <c r="O818" s="166"/>
      <c r="P818" s="166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323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36" t="s">
        <v>334</v>
      </c>
      <c r="B820" s="834"/>
      <c r="C820" s="834"/>
      <c r="D820" s="835"/>
      <c r="E820" s="834"/>
      <c r="F820" s="834"/>
      <c r="G820" s="833"/>
      <c r="H820" s="832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1"/>
      <c r="J820" s="831"/>
      <c r="K820" s="830"/>
      <c r="L820" s="830"/>
      <c r="M820" s="830"/>
      <c r="N820" s="830"/>
      <c r="O820" s="830"/>
      <c r="P820" s="83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325</v>
      </c>
      <c r="C821" s="762"/>
      <c r="D821" s="574"/>
      <c r="E821" s="762"/>
      <c r="F821" s="762"/>
      <c r="G821" s="188"/>
      <c r="H821" s="622" t="s">
        <v>12</v>
      </c>
      <c r="I821" s="269">
        <f ca="1">IFERROR(__xludf.DUMMYFUNCTION("IMPORTRANGE(""https://docs.google.com/spreadsheets/d/19vJNZY_5yjcGF2XGBMNZRCAIB0Kwfpjp8YEOfu-bneM/edit?usp=sharing"",""งานกองทุน!D76"")"),1126506.86)</f>
        <v>1126506.8600000001</v>
      </c>
      <c r="J821" s="269">
        <f ca="1">IFERROR(__xludf.DUMMYFUNCTION("IMPORTRANGE(""https://docs.google.com/spreadsheets/d/19vJNZY_5yjcGF2XGBMNZRCAIB0Kwfpjp8YEOfu-bneM/edit?usp=sharing"",""งานกองทุน!F76"")"),1382381.17)</f>
        <v>1382381.17</v>
      </c>
      <c r="K821" s="497">
        <f t="shared" ref="K821:K828" ca="1" si="113">IF(I821&gt;0,J821*100/I821,0)</f>
        <v>122.71395932733157</v>
      </c>
      <c r="L821" s="497"/>
      <c r="M821" s="497"/>
      <c r="N821" s="497"/>
      <c r="O821" s="497"/>
      <c r="P821" s="497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8"/>
      <c r="H822" s="622" t="s">
        <v>35</v>
      </c>
      <c r="I822" s="269">
        <f ca="1">IFERROR(__xludf.DUMMYFUNCTION("IMPORTRANGE(""https://docs.google.com/spreadsheets/d/19vJNZY_5yjcGF2XGBMNZRCAIB0Kwfpjp8YEOfu-bneM/edit?usp=sharing"",""งานกองทุน!C76"")"),113)</f>
        <v>113</v>
      </c>
      <c r="J822" s="269">
        <f ca="1">IFERROR(__xludf.DUMMYFUNCTION("IMPORTRANGE(""https://docs.google.com/spreadsheets/d/19vJNZY_5yjcGF2XGBMNZRCAIB0Kwfpjp8YEOfu-bneM/edit?usp=sharing"",""งานกองทุน!E76"")"),123)</f>
        <v>123</v>
      </c>
      <c r="K822" s="497">
        <f t="shared" ca="1" si="113"/>
        <v>108.84955752212389</v>
      </c>
      <c r="L822" s="497"/>
      <c r="M822" s="497"/>
      <c r="N822" s="497"/>
      <c r="O822" s="497"/>
      <c r="P822" s="497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326</v>
      </c>
      <c r="C823" s="762"/>
      <c r="D823" s="574"/>
      <c r="E823" s="762"/>
      <c r="F823" s="762"/>
      <c r="G823" s="188"/>
      <c r="H823" s="622" t="s">
        <v>12</v>
      </c>
      <c r="I823" s="269">
        <f ca="1">IFERROR(__xludf.DUMMYFUNCTION("IMPORTRANGE(""https://docs.google.com/spreadsheets/d/19vJNZY_5yjcGF2XGBMNZRCAIB0Kwfpjp8YEOfu-bneM/edit?usp=sharing"",""งานกองทุน!I76"")"),455877.81)</f>
        <v>455877.81</v>
      </c>
      <c r="J823" s="269">
        <f ca="1">IFERROR(__xludf.DUMMYFUNCTION("IMPORTRANGE(""https://docs.google.com/spreadsheets/d/19vJNZY_5yjcGF2XGBMNZRCAIB0Kwfpjp8YEOfu-bneM/edit?usp=sharing"",""งานกองทุน!K76"")"),174208.98)</f>
        <v>174208.98</v>
      </c>
      <c r="K823" s="497">
        <f t="shared" ca="1" si="113"/>
        <v>38.213963517987416</v>
      </c>
      <c r="L823" s="497"/>
      <c r="M823" s="497"/>
      <c r="N823" s="497"/>
      <c r="O823" s="497"/>
      <c r="P823" s="497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8"/>
      <c r="H824" s="622" t="s">
        <v>35</v>
      </c>
      <c r="I824" s="269">
        <f ca="1">IFERROR(__xludf.DUMMYFUNCTION("IMPORTRANGE(""https://docs.google.com/spreadsheets/d/19vJNZY_5yjcGF2XGBMNZRCAIB0Kwfpjp8YEOfu-bneM/edit?usp=sharing"",""งานกองทุน!H76"")"),19)</f>
        <v>19</v>
      </c>
      <c r="J824" s="269">
        <f ca="1">IFERROR(__xludf.DUMMYFUNCTION("IMPORTRANGE(""https://docs.google.com/spreadsheets/d/19vJNZY_5yjcGF2XGBMNZRCAIB0Kwfpjp8YEOfu-bneM/edit?usp=sharing"",""งานกองทุน!J76"")"),9)</f>
        <v>9</v>
      </c>
      <c r="K824" s="497">
        <f t="shared" ca="1" si="113"/>
        <v>47.368421052631582</v>
      </c>
      <c r="L824" s="497"/>
      <c r="M824" s="497"/>
      <c r="N824" s="497"/>
      <c r="O824" s="497"/>
      <c r="P824" s="497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327</v>
      </c>
      <c r="C825" s="762"/>
      <c r="D825" s="574"/>
      <c r="E825" s="762"/>
      <c r="F825" s="762"/>
      <c r="G825" s="188"/>
      <c r="H825" s="622" t="s">
        <v>12</v>
      </c>
      <c r="I825" s="269">
        <f ca="1">IFERROR(__xludf.DUMMYFUNCTION("IMPORTRANGE(""https://docs.google.com/spreadsheets/d/19vJNZY_5yjcGF2XGBMNZRCAIB0Kwfpjp8YEOfu-bneM/edit?usp=sharing"",""งานกองทุน!N76"")"),0)</f>
        <v>0</v>
      </c>
      <c r="J825" s="269">
        <f ca="1">IFERROR(__xludf.DUMMYFUNCTION("IMPORTRANGE(""https://docs.google.com/spreadsheets/d/19vJNZY_5yjcGF2XGBMNZRCAIB0Kwfpjp8YEOfu-bneM/edit?usp=sharing"",""งานกองทุน!P76"")"),0)</f>
        <v>0</v>
      </c>
      <c r="K825" s="497">
        <f t="shared" ca="1" si="113"/>
        <v>0</v>
      </c>
      <c r="L825" s="497"/>
      <c r="M825" s="497"/>
      <c r="N825" s="497"/>
      <c r="O825" s="497"/>
      <c r="P825" s="497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8"/>
      <c r="H826" s="622" t="s">
        <v>35</v>
      </c>
      <c r="I826" s="269">
        <f ca="1">IFERROR(__xludf.DUMMYFUNCTION("IMPORTRANGE(""https://docs.google.com/spreadsheets/d/19vJNZY_5yjcGF2XGBMNZRCAIB0Kwfpjp8YEOfu-bneM/edit?usp=sharing"",""งานกองทุน!M76"")"),0)</f>
        <v>0</v>
      </c>
      <c r="J826" s="269">
        <f ca="1">IFERROR(__xludf.DUMMYFUNCTION("IMPORTRANGE(""https://docs.google.com/spreadsheets/d/19vJNZY_5yjcGF2XGBMNZRCAIB0Kwfpjp8YEOfu-bneM/edit?usp=sharing"",""งานกองทุน!O76"")"),0)</f>
        <v>0</v>
      </c>
      <c r="K826" s="497">
        <f t="shared" ca="1" si="113"/>
        <v>0</v>
      </c>
      <c r="L826" s="497"/>
      <c r="M826" s="497"/>
      <c r="N826" s="497"/>
      <c r="O826" s="497"/>
      <c r="P826" s="497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328</v>
      </c>
      <c r="C827" s="762"/>
      <c r="D827" s="574"/>
      <c r="E827" s="762"/>
      <c r="F827" s="762"/>
      <c r="G827" s="188"/>
      <c r="H827" s="622" t="s">
        <v>12</v>
      </c>
      <c r="I827" s="269">
        <f ca="1">IFERROR(__xludf.DUMMYFUNCTION("IMPORTRANGE(""https://docs.google.com/spreadsheets/d/19vJNZY_5yjcGF2XGBMNZRCAIB0Kwfpjp8YEOfu-bneM/edit?usp=sharing"",""งานกองทุน!S76"")"),1050000)</f>
        <v>1050000</v>
      </c>
      <c r="J827" s="269">
        <f ca="1">IFERROR(__xludf.DUMMYFUNCTION("IMPORTRANGE(""https://docs.google.com/spreadsheets/d/19vJNZY_5yjcGF2XGBMNZRCAIB0Kwfpjp8YEOfu-bneM/edit?usp=sharing"",""งานกองทุน!U76"")"),1260000)</f>
        <v>1260000</v>
      </c>
      <c r="K827" s="497">
        <f t="shared" ca="1" si="113"/>
        <v>120</v>
      </c>
      <c r="L827" s="497"/>
      <c r="M827" s="497"/>
      <c r="N827" s="497"/>
      <c r="O827" s="497"/>
      <c r="P827" s="497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827"/>
      <c r="B828" s="748"/>
      <c r="C828" s="748"/>
      <c r="D828" s="747"/>
      <c r="E828" s="748"/>
      <c r="F828" s="748"/>
      <c r="G828" s="828"/>
      <c r="H828" s="829" t="s">
        <v>35</v>
      </c>
      <c r="I828" s="505">
        <f ca="1">IFERROR(__xludf.DUMMYFUNCTION("IMPORTRANGE(""https://docs.google.com/spreadsheets/d/19vJNZY_5yjcGF2XGBMNZRCAIB0Kwfpjp8YEOfu-bneM/edit?usp=sharing"",""งานกองทุน!R76"")"),42)</f>
        <v>42</v>
      </c>
      <c r="J828" s="505">
        <f ca="1">IFERROR(__xludf.DUMMYFUNCTION("IMPORTRANGE(""https://docs.google.com/spreadsheets/d/19vJNZY_5yjcGF2XGBMNZRCAIB0Kwfpjp8YEOfu-bneM/edit?usp=sharing"",""งานกองทุน!T76"")"),42)</f>
        <v>42</v>
      </c>
      <c r="K828" s="506">
        <f t="shared" ca="1" si="113"/>
        <v>100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 gridLines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EBFB4-4E2B-4FB2-A41D-2B7994778EC8}">
  <sheetPr>
    <outlinePr summaryBelow="0" summaryRight="0"/>
    <pageSetUpPr fitToPage="1"/>
  </sheetPr>
  <dimension ref="A1:Z828"/>
  <sheetViews>
    <sheetView view="pageBreakPreview" zoomScale="50" zoomScaleNormal="10" zoomScaleSheetLayoutView="50" workbookViewId="0">
      <pane ySplit="6" topLeftCell="A7" activePane="bottomLeft" state="frozen"/>
      <selection activeCell="X18" sqref="X18:X21"/>
      <selection pane="bottomLeft" activeCell="X18" sqref="X18:X2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20.140625" bestFit="1" customWidth="1"/>
    <col min="16" max="16" width="22" bestFit="1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337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354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4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3528277</v>
      </c>
      <c r="M8" s="21">
        <f ca="1">M9+M10</f>
        <v>3734983.51</v>
      </c>
      <c r="N8" s="21">
        <f ca="1">N9+N10</f>
        <v>3734983.51</v>
      </c>
      <c r="O8" s="21">
        <f t="shared" ref="O8:O16" ca="1" si="0">IF(L8&gt;0,N8*100/L8,0)</f>
        <v>105.85856807727964</v>
      </c>
      <c r="P8" s="21">
        <f t="shared" ref="P8:P16" ca="1" si="1">IF(M8&gt;0,N8*100/M8,0)</f>
        <v>100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3528277</v>
      </c>
      <c r="M10" s="29">
        <f t="shared" ca="1" si="2"/>
        <v>3734983.51</v>
      </c>
      <c r="N10" s="29">
        <f t="shared" ca="1" si="2"/>
        <v>3734983.51</v>
      </c>
      <c r="O10" s="29">
        <f t="shared" ca="1" si="0"/>
        <v>105.85856807727964</v>
      </c>
      <c r="P10" s="29">
        <f t="shared" ca="1" si="1"/>
        <v>100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22" t="s">
        <v>12</v>
      </c>
      <c r="I11" s="269"/>
      <c r="J11" s="269"/>
      <c r="K11" s="497"/>
      <c r="L11" s="497">
        <f ca="1">L12+L13</f>
        <v>3398677</v>
      </c>
      <c r="M11" s="497">
        <f ca="1">M12+M13</f>
        <v>3605383.51</v>
      </c>
      <c r="N11" s="497">
        <f ca="1">N12+N13</f>
        <v>3605383.51</v>
      </c>
      <c r="O11" s="497">
        <f t="shared" ca="1" si="0"/>
        <v>106.0819698370866</v>
      </c>
      <c r="P11" s="497">
        <f t="shared" ca="1" si="1"/>
        <v>100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6"/>
      <c r="J12" s="616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6"/>
      <c r="J13" s="616"/>
      <c r="K13" s="92"/>
      <c r="L13" s="92">
        <f t="shared" ca="1" si="3"/>
        <v>3398677</v>
      </c>
      <c r="M13" s="92">
        <f t="shared" ca="1" si="3"/>
        <v>3605383.51</v>
      </c>
      <c r="N13" s="92">
        <f t="shared" ca="1" si="3"/>
        <v>3605383.51</v>
      </c>
      <c r="O13" s="92">
        <f t="shared" ca="1" si="0"/>
        <v>106.0819698370866</v>
      </c>
      <c r="P13" s="92">
        <f t="shared" ca="1" si="1"/>
        <v>100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22" t="s">
        <v>12</v>
      </c>
      <c r="I14" s="269"/>
      <c r="J14" s="269"/>
      <c r="K14" s="497"/>
      <c r="L14" s="497">
        <f ca="1">L15+L16</f>
        <v>129600</v>
      </c>
      <c r="M14" s="497">
        <f ca="1">M15+M16</f>
        <v>129600</v>
      </c>
      <c r="N14" s="497">
        <f ca="1">N15+N16</f>
        <v>129600</v>
      </c>
      <c r="O14" s="497">
        <f t="shared" ca="1" si="0"/>
        <v>100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6"/>
      <c r="J15" s="616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129600</v>
      </c>
      <c r="M16" s="51">
        <f t="shared" ca="1" si="4"/>
        <v>129600</v>
      </c>
      <c r="N16" s="51">
        <f t="shared" ca="1" si="4"/>
        <v>129600</v>
      </c>
      <c r="O16" s="51">
        <f t="shared" ca="1" si="0"/>
        <v>100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2695565</v>
      </c>
      <c r="M18" s="21">
        <f ca="1">M19+M20</f>
        <v>2906737.77</v>
      </c>
      <c r="N18" s="21">
        <f ca="1">N19+N20</f>
        <v>2906737.77</v>
      </c>
      <c r="O18" s="21">
        <f t="shared" ref="O18:O26" ca="1" si="5">IF(L18&gt;0,N18*100/L18,0)</f>
        <v>107.83408190861655</v>
      </c>
      <c r="P18" s="21">
        <f t="shared" ref="P18:P26" ca="1" si="6">IF(M18&gt;0,N18*100/M18,0)</f>
        <v>100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2695565</v>
      </c>
      <c r="M20" s="29">
        <f t="shared" ca="1" si="7"/>
        <v>2906737.77</v>
      </c>
      <c r="N20" s="29">
        <f t="shared" ca="1" si="7"/>
        <v>2906737.77</v>
      </c>
      <c r="O20" s="29">
        <f t="shared" ca="1" si="5"/>
        <v>107.83408190861655</v>
      </c>
      <c r="P20" s="29">
        <f t="shared" ca="1" si="6"/>
        <v>100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22" t="s">
        <v>12</v>
      </c>
      <c r="I21" s="269"/>
      <c r="J21" s="269"/>
      <c r="K21" s="497"/>
      <c r="L21" s="497">
        <f ca="1">L22+L23</f>
        <v>2565965</v>
      </c>
      <c r="M21" s="497">
        <f ca="1">M22+M23</f>
        <v>2777137.77</v>
      </c>
      <c r="N21" s="497">
        <f ca="1">N22+N23</f>
        <v>2777137.77</v>
      </c>
      <c r="O21" s="497">
        <f t="shared" ca="1" si="5"/>
        <v>108.22976034357444</v>
      </c>
      <c r="P21" s="497">
        <f t="shared" ca="1" si="6"/>
        <v>100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6"/>
      <c r="J22" s="616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6"/>
      <c r="J23" s="616"/>
      <c r="K23" s="92"/>
      <c r="L23" s="92">
        <f t="shared" ca="1" si="8"/>
        <v>2565965</v>
      </c>
      <c r="M23" s="92">
        <f t="shared" ca="1" si="8"/>
        <v>2777137.77</v>
      </c>
      <c r="N23" s="92">
        <f t="shared" ca="1" si="8"/>
        <v>2777137.77</v>
      </c>
      <c r="O23" s="92">
        <f t="shared" ca="1" si="5"/>
        <v>108.22976034357444</v>
      </c>
      <c r="P23" s="92">
        <f t="shared" ca="1" si="6"/>
        <v>100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22" t="s">
        <v>12</v>
      </c>
      <c r="I24" s="269"/>
      <c r="J24" s="269"/>
      <c r="K24" s="497"/>
      <c r="L24" s="497">
        <f ca="1">L25+L26</f>
        <v>129600</v>
      </c>
      <c r="M24" s="497">
        <f ca="1">M25+M26</f>
        <v>129600</v>
      </c>
      <c r="N24" s="497">
        <f ca="1">N25+N26</f>
        <v>129600</v>
      </c>
      <c r="O24" s="497">
        <f t="shared" ca="1" si="5"/>
        <v>100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6"/>
      <c r="J25" s="616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129600</v>
      </c>
      <c r="M26" s="51">
        <f t="shared" ca="1" si="9"/>
        <v>129600</v>
      </c>
      <c r="N26" s="51">
        <f t="shared" ca="1" si="9"/>
        <v>129600</v>
      </c>
      <c r="O26" s="51">
        <f t="shared" ca="1" si="5"/>
        <v>100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832712</v>
      </c>
      <c r="M28" s="21">
        <f ca="1">M29+M30</f>
        <v>828245.74</v>
      </c>
      <c r="N28" s="21">
        <f>N29+N30</f>
        <v>828245.74</v>
      </c>
      <c r="O28" s="21">
        <f t="shared" ref="O28:O37" ca="1" si="10">IF(L28&gt;0,N28*100/L28,0)</f>
        <v>99.463648896617315</v>
      </c>
      <c r="P28" s="21">
        <f t="shared" ref="P28:P37" ca="1" si="11">IF(M28&gt;0,N28*100/M28,0)</f>
        <v>100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832712</v>
      </c>
      <c r="M30" s="29">
        <f t="shared" ca="1" si="12"/>
        <v>828245.74</v>
      </c>
      <c r="N30" s="29">
        <f t="shared" si="12"/>
        <v>828245.74</v>
      </c>
      <c r="O30" s="29">
        <f t="shared" ca="1" si="10"/>
        <v>99.463648896617315</v>
      </c>
      <c r="P30" s="29">
        <f t="shared" ca="1" si="11"/>
        <v>100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22" t="s">
        <v>12</v>
      </c>
      <c r="I31" s="269"/>
      <c r="J31" s="269"/>
      <c r="K31" s="497"/>
      <c r="L31" s="497">
        <f ca="1">L32+L33</f>
        <v>832712</v>
      </c>
      <c r="M31" s="497">
        <f ca="1">M32+M33</f>
        <v>828245.74</v>
      </c>
      <c r="N31" s="497">
        <f>N32+N33</f>
        <v>828245.74</v>
      </c>
      <c r="O31" s="497">
        <f t="shared" ca="1" si="10"/>
        <v>99.463648896617315</v>
      </c>
      <c r="P31" s="497">
        <f t="shared" ca="1" si="11"/>
        <v>100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6"/>
      <c r="J32" s="616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6"/>
      <c r="J33" s="616"/>
      <c r="K33" s="92"/>
      <c r="L33" s="92">
        <f t="shared" ca="1" si="13"/>
        <v>832712</v>
      </c>
      <c r="M33" s="92">
        <f t="shared" ca="1" si="13"/>
        <v>828245.74</v>
      </c>
      <c r="N33" s="92">
        <f t="shared" si="13"/>
        <v>828245.74</v>
      </c>
      <c r="O33" s="92">
        <f t="shared" ca="1" si="10"/>
        <v>99.463648896617315</v>
      </c>
      <c r="P33" s="92">
        <f t="shared" ca="1" si="11"/>
        <v>100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22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6"/>
      <c r="J35" s="616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868" t="s">
        <v>24</v>
      </c>
      <c r="B37" s="867"/>
      <c r="C37" s="867"/>
      <c r="D37" s="867"/>
      <c r="E37" s="867"/>
      <c r="F37" s="867"/>
      <c r="G37" s="866"/>
      <c r="H37" s="865"/>
      <c r="I37" s="864"/>
      <c r="J37" s="864"/>
      <c r="K37" s="863"/>
      <c r="L37" s="862">
        <f ca="1">L41+L53+L66+L88+L119+L132+L149+L165+L181+L261+L277+L298+L315+L328+L345+L389+L402</f>
        <v>2695565</v>
      </c>
      <c r="M37" s="862">
        <f ca="1">M41+M53+M66+M88+M119+M132+M149+M165+M181+M261+M277+M298+M315+M328+M345+M389+M402</f>
        <v>2906737.77</v>
      </c>
      <c r="N37" s="862">
        <f ca="1">N41+N53+N66+N88+N119+N132+N149+N165+N181+N261+N277+N298+N315+N328+N345+N389+N402</f>
        <v>2906737.77</v>
      </c>
      <c r="O37" s="862">
        <f t="shared" ca="1" si="10"/>
        <v>107.83408190861655</v>
      </c>
      <c r="P37" s="862">
        <f t="shared" ca="1" si="11"/>
        <v>100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9" t="s">
        <v>27</v>
      </c>
      <c r="C40" s="888"/>
      <c r="D40" s="888"/>
      <c r="E40" s="888"/>
      <c r="F40" s="888"/>
      <c r="G40" s="894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1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342700</v>
      </c>
      <c r="M41" s="84">
        <f ca="1">M42+M43</f>
        <v>356397.59</v>
      </c>
      <c r="N41" s="84">
        <f ca="1">N42+N43</f>
        <v>356397.59</v>
      </c>
      <c r="O41" s="84">
        <f t="shared" ref="O41:O49" ca="1" si="15">IF(L41&gt;0,N41*100/L41,0)</f>
        <v>103.99696235774731</v>
      </c>
      <c r="P41" s="84">
        <f t="shared" ref="P41:P49" ca="1" si="16">IF(M41&gt;0,N41*100/M41,0)</f>
        <v>99.999999999999986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342700</v>
      </c>
      <c r="M43" s="91">
        <f t="shared" ca="1" si="17"/>
        <v>356397.59</v>
      </c>
      <c r="N43" s="91">
        <f t="shared" ca="1" si="17"/>
        <v>356397.59</v>
      </c>
      <c r="O43" s="91">
        <f t="shared" ca="1" si="15"/>
        <v>103.99696235774731</v>
      </c>
      <c r="P43" s="91">
        <f t="shared" ca="1" si="16"/>
        <v>99.999999999999986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22" t="s">
        <v>12</v>
      </c>
      <c r="I44" s="269"/>
      <c r="J44" s="269"/>
      <c r="K44" s="497"/>
      <c r="L44" s="497">
        <f ca="1">L45+L46</f>
        <v>342700</v>
      </c>
      <c r="M44" s="497">
        <f ca="1">M45+M46</f>
        <v>356397.59</v>
      </c>
      <c r="N44" s="497">
        <f ca="1">N45+N46</f>
        <v>356397.59</v>
      </c>
      <c r="O44" s="497">
        <f t="shared" ca="1" si="15"/>
        <v>103.99696235774731</v>
      </c>
      <c r="P44" s="497">
        <f t="shared" ca="1" si="16"/>
        <v>99.999999999999986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6"/>
      <c r="J45" s="616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6"/>
      <c r="J46" s="616"/>
      <c r="K46" s="92"/>
      <c r="L46" s="92">
        <f ca="1">IFERROR(__xludf.DUMMYFUNCTION("IMPORTRANGE(""https://docs.google.com/spreadsheets/d/1MeEWN-I1oV_STSDYn1IFDPWt_1FKiwhDph83XaGc0o0/edit?usp=sharing"",""งบพรบ!M77"")"),342700)</f>
        <v>342700</v>
      </c>
      <c r="M46" s="92">
        <f ca="1">IFERROR(__xludf.DUMMYFUNCTION("IMPORTRANGE(""https://docs.google.com/spreadsheets/d/1MeEWN-I1oV_STSDYn1IFDPWt_1FKiwhDph83XaGc0o0/edit?usp=sharing"",""งบพรบ!R77"")"),356397.59)</f>
        <v>356397.59</v>
      </c>
      <c r="N46" s="92">
        <f ca="1">IFERROR(__xludf.DUMMYFUNCTION("IMPORTRANGE(""https://docs.google.com/spreadsheets/d/1MeEWN-I1oV_STSDYn1IFDPWt_1FKiwhDph83XaGc0o0/edit?usp=sharing"",""งบพรบ!T77"")"),356397.59)</f>
        <v>356397.59</v>
      </c>
      <c r="O46" s="92">
        <f t="shared" ca="1" si="15"/>
        <v>103.99696235774731</v>
      </c>
      <c r="P46" s="92">
        <f t="shared" ca="1" si="16"/>
        <v>99.999999999999986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22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6"/>
      <c r="J48" s="616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IFERROR(__xludf.DUMMYFUNCTION("IMPORTRANGE(""https://docs.google.com/spreadsheets/d/1MeEWN-I1oV_STSDYn1IFDPWt_1FKiwhDph83XaGc0o0/edit?usp=sharing"",""งบพรบ!P77"")"),0)</f>
        <v>0</v>
      </c>
      <c r="M49" s="51">
        <f ca="1">IFERROR(__xludf.DUMMYFUNCTION("IMPORTRANGE(""https://docs.google.com/spreadsheets/d/1MeEWN-I1oV_STSDYn1IFDPWt_1FKiwhDph83XaGc0o0/edit?usp=sharing"",""งบพรบ!S77"")"),0)</f>
        <v>0</v>
      </c>
      <c r="N49" s="51">
        <f ca="1">IFERROR(__xludf.DUMMYFUNCTION("IMPORTRANGE(""https://docs.google.com/spreadsheets/d/1MeEWN-I1oV_STSDYn1IFDPWt_1FKiwhDph83XaGc0o0/edit?usp=sharing"",""งบพรบ!U77"")"),0)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3" t="s">
        <v>29</v>
      </c>
      <c r="C51" s="888"/>
      <c r="D51" s="888"/>
      <c r="E51" s="888"/>
      <c r="F51" s="888"/>
      <c r="G51" s="894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728300</v>
      </c>
      <c r="M53" s="115">
        <f ca="1">M54+M55</f>
        <v>802225.18</v>
      </c>
      <c r="N53" s="115">
        <f ca="1">N54+N55</f>
        <v>802225.18</v>
      </c>
      <c r="O53" s="115">
        <f t="shared" ref="O53:O61" ca="1" si="18">IF(L53&gt;0,N53*100/L53,0)</f>
        <v>110.15037484553069</v>
      </c>
      <c r="P53" s="115">
        <f t="shared" ref="P53:P61" ca="1" si="19">IF(M53&gt;0,N53*100/M53,0)</f>
        <v>100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728300</v>
      </c>
      <c r="M55" s="122">
        <f t="shared" ca="1" si="20"/>
        <v>802225.18</v>
      </c>
      <c r="N55" s="122">
        <f t="shared" ca="1" si="20"/>
        <v>802225.18</v>
      </c>
      <c r="O55" s="122">
        <f t="shared" ca="1" si="18"/>
        <v>110.15037484553069</v>
      </c>
      <c r="P55" s="122">
        <f t="shared" ca="1" si="19"/>
        <v>100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22" t="s">
        <v>12</v>
      </c>
      <c r="I56" s="269"/>
      <c r="J56" s="269"/>
      <c r="K56" s="497"/>
      <c r="L56" s="497">
        <f ca="1">L57+L58</f>
        <v>728300</v>
      </c>
      <c r="M56" s="497">
        <f ca="1">M57+M58</f>
        <v>802225.18</v>
      </c>
      <c r="N56" s="497">
        <f ca="1">N57+N58</f>
        <v>802225.18</v>
      </c>
      <c r="O56" s="497">
        <f t="shared" ca="1" si="18"/>
        <v>110.15037484553069</v>
      </c>
      <c r="P56" s="497">
        <f t="shared" ca="1" si="19"/>
        <v>100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6"/>
      <c r="J57" s="616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6"/>
      <c r="J58" s="616"/>
      <c r="K58" s="92"/>
      <c r="L58" s="92">
        <f ca="1">IFERROR(__xludf.DUMMYFUNCTION("IMPORTRANGE(""https://docs.google.com/spreadsheets/d/1MeEWN-I1oV_STSDYn1IFDPWt_1FKiwhDph83XaGc0o0/edit?usp=sharing"",""งบพรบ!W77"")"),728300)</f>
        <v>728300</v>
      </c>
      <c r="M58" s="92">
        <f ca="1">IFERROR(__xludf.DUMMYFUNCTION("IMPORTRANGE(""https://docs.google.com/spreadsheets/d/1MeEWN-I1oV_STSDYn1IFDPWt_1FKiwhDph83XaGc0o0/edit?usp=sharing"",""งบพรบ!AB77"")"),802225.18)</f>
        <v>802225.18</v>
      </c>
      <c r="N58" s="92">
        <f ca="1">IFERROR(__xludf.DUMMYFUNCTION("IMPORTRANGE(""https://docs.google.com/spreadsheets/d/1MeEWN-I1oV_STSDYn1IFDPWt_1FKiwhDph83XaGc0o0/edit?usp=sharing"",""งบพรบ!AD77"")"),802225.18)</f>
        <v>802225.18</v>
      </c>
      <c r="O58" s="92">
        <f t="shared" ca="1" si="18"/>
        <v>110.15037484553069</v>
      </c>
      <c r="P58" s="92">
        <f t="shared" ca="1" si="19"/>
        <v>100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22" t="s">
        <v>12</v>
      </c>
      <c r="I59" s="269"/>
      <c r="J59" s="269"/>
      <c r="K59" s="497"/>
      <c r="L59" s="497">
        <f ca="1">L60+L61</f>
        <v>0</v>
      </c>
      <c r="M59" s="497">
        <f ca="1">M60+M61</f>
        <v>0</v>
      </c>
      <c r="N59" s="497">
        <f ca="1">N60+N61</f>
        <v>0</v>
      </c>
      <c r="O59" s="497">
        <f t="shared" ca="1" si="18"/>
        <v>0</v>
      </c>
      <c r="P59" s="497">
        <f t="shared" ca="1" si="19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6"/>
      <c r="J60" s="616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IFERROR(__xludf.DUMMYFUNCTION("IMPORTRANGE(""https://docs.google.com/spreadsheets/d/1MeEWN-I1oV_STSDYn1IFDPWt_1FKiwhDph83XaGc0o0/edit?usp=sharing"",""งบพรบ!Z77"")"),0)</f>
        <v>0</v>
      </c>
      <c r="M61" s="51">
        <f ca="1">IFERROR(__xludf.DUMMYFUNCTION("IMPORTRANGE(""https://docs.google.com/spreadsheets/d/1MeEWN-I1oV_STSDYn1IFDPWt_1FKiwhDph83XaGc0o0/edit?usp=sharing"",""งบพรบ!AC77"")"),0)</f>
        <v>0</v>
      </c>
      <c r="N61" s="51">
        <f ca="1">IFERROR(__xludf.DUMMYFUNCTION("IMPORTRANGE(""https://docs.google.com/spreadsheets/d/1MeEWN-I1oV_STSDYn1IFDPWt_1FKiwhDph83XaGc0o0/edit?usp=sharing"",""งบพรบ!AE77"")"),0)</f>
        <v>0</v>
      </c>
      <c r="O61" s="51">
        <f t="shared" ca="1" si="18"/>
        <v>0</v>
      </c>
      <c r="P61" s="51">
        <f t="shared" ca="1" si="19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46" t="s">
        <v>17</v>
      </c>
      <c r="E66" s="147"/>
      <c r="F66" s="147"/>
      <c r="G66" s="150"/>
      <c r="H66" s="151" t="s">
        <v>12</v>
      </c>
      <c r="I66" s="420"/>
      <c r="J66" s="420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6"/>
      <c r="J67" s="616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6"/>
      <c r="J68" s="616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IFERROR(__xludf.DUMMYFUNCTION("IMPORTRANGE(""https://docs.google.com/spreadsheets/d/1MeEWN-I1oV_STSDYn1IFDPWt_1FKiwhDph83XaGc0o0/edit?usp=sharing"",""งบพรบ!AG77"")"),0)</f>
        <v>0</v>
      </c>
      <c r="M71" s="92">
        <f ca="1">IFERROR(__xludf.DUMMYFUNCTION("IMPORTRANGE(""https://docs.google.com/spreadsheets/d/1MeEWN-I1oV_STSDYn1IFDPWt_1FKiwhDph83XaGc0o0/edit?usp=sharing"",""งบพรบ!AL77"")"),0)</f>
        <v>0</v>
      </c>
      <c r="N71" s="92">
        <f ca="1">IFERROR(__xludf.DUMMYFUNCTION("IMPORTRANGE(""https://docs.google.com/spreadsheets/d/1MeEWN-I1oV_STSDYn1IFDPWt_1FKiwhDph83XaGc0o0/edit?usp=sharing"",""งบพรบ!AN77"")"),0)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IFERROR(__xludf.DUMMYFUNCTION("IMPORTRANGE(""https://docs.google.com/spreadsheets/d/1MeEWN-I1oV_STSDYn1IFDPWt_1FKiwhDph83XaGc0o0/edit?usp=sharing"",""งบพรบ!AJ77"")"),0)</f>
        <v>0</v>
      </c>
      <c r="M74" s="92">
        <f ca="1">IFERROR(__xludf.DUMMYFUNCTION("IMPORTRANGE(""https://docs.google.com/spreadsheets/d/1MeEWN-I1oV_STSDYn1IFDPWt_1FKiwhDph83XaGc0o0/edit?usp=sharing"",""งบพรบ!AM77"")"),0)</f>
        <v>0</v>
      </c>
      <c r="N74" s="92">
        <f ca="1">IFERROR(__xludf.DUMMYFUNCTION("IMPORTRANGE(""https://docs.google.com/spreadsheets/d/1MeEWN-I1oV_STSDYn1IFDPWt_1FKiwhDph83XaGc0o0/edit?usp=sharing"",""งบพรบ!AO77"")"),0)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47" t="s">
        <v>38</v>
      </c>
      <c r="E75" s="172"/>
      <c r="F75" s="172"/>
      <c r="G75" s="173"/>
      <c r="H75" s="761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7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7" t="s">
        <v>40</v>
      </c>
      <c r="F78" s="447"/>
      <c r="G78" s="178"/>
      <c r="H78" s="763" t="s">
        <v>34</v>
      </c>
      <c r="I78" s="183">
        <f ca="1">IFERROR(__xludf.DUMMYFUNCTION("IMPORTRANGE(""https://docs.google.com/spreadsheets/d/1QqKyyYR6Q21VydFLVH3TRQUabQu_ym0Zz7PgGX0-kHA/edit?usp=sharing"",""แผน!H77"")"),0)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63" t="s">
        <v>35</v>
      </c>
      <c r="I79" s="183">
        <f ca="1">IFERROR(__xludf.DUMMYFUNCTION("IMPORTRANGE(""https://docs.google.com/spreadsheets/d/1QqKyyYR6Q21VydFLVH3TRQUabQu_ym0Zz7PgGX0-kHA/edit?usp=sharing"",""แผน!I77"")"),0)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7" t="s">
        <v>41</v>
      </c>
      <c r="F80" s="447"/>
      <c r="G80" s="178"/>
      <c r="H80" s="763" t="s">
        <v>34</v>
      </c>
      <c r="I80" s="183">
        <f ca="1">IFERROR(__xludf.DUMMYFUNCTION("IMPORTRANGE(""https://docs.google.com/spreadsheets/d/1QqKyyYR6Q21VydFLVH3TRQUabQu_ym0Zz7PgGX0-kHA/edit?usp=sharing"",""แผน!F77"")"),0)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63" t="s">
        <v>35</v>
      </c>
      <c r="I81" s="183">
        <f ca="1">IFERROR(__xludf.DUMMYFUNCTION("IMPORTRANGE(""https://docs.google.com/spreadsheets/d/1QqKyyYR6Q21VydFLVH3TRQUabQu_ym0Zz7PgGX0-kHA/edit?usp=sharing"",""แผน!G77"")"),0)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7" t="s">
        <v>42</v>
      </c>
      <c r="F82" s="447"/>
      <c r="G82" s="178"/>
      <c r="H82" s="763" t="s">
        <v>34</v>
      </c>
      <c r="I82" s="183">
        <f ca="1">IFERROR(__xludf.DUMMYFUNCTION("IMPORTRANGE(""https://docs.google.com/spreadsheets/d/1QqKyyYR6Q21VydFLVH3TRQUabQu_ym0Zz7PgGX0-kHA/edit?usp=sharing"",""แผน!D77"")"),0)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63" t="s">
        <v>35</v>
      </c>
      <c r="I83" s="183">
        <f ca="1">IFERROR(__xludf.DUMMYFUNCTION("IMPORTRANGE(""https://docs.google.com/spreadsheets/d/1QqKyyYR6Q21VydFLVH3TRQUabQu_ym0Zz7PgGX0-kHA/edit?usp=sharing"",""แผน!E77"")"),0)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7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IFERROR(__xludf.DUMMYFUNCTION("IMPORTRANGE(""https://docs.google.com/spreadsheets/d/1QqKyyYR6Q21VydFLVH3TRQUabQu_ym0Zz7PgGX0-kHA/edit?usp=sharing"",""แผน!J77"")"),0)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0</v>
      </c>
      <c r="J86" s="143">
        <f>J98</f>
        <v>0</v>
      </c>
      <c r="K86" s="144">
        <f ca="1">IF(I86&gt;0,J86*100/I86,0)</f>
        <v>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0</v>
      </c>
      <c r="J87" s="143">
        <f>J99</f>
        <v>0</v>
      </c>
      <c r="K87" s="144">
        <f ca="1">IF(I87&gt;0,J87*100/I87,0)</f>
        <v>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46" t="s">
        <v>17</v>
      </c>
      <c r="E88" s="147"/>
      <c r="F88" s="147"/>
      <c r="G88" s="150"/>
      <c r="H88" s="151" t="s">
        <v>12</v>
      </c>
      <c r="I88" s="420"/>
      <c r="J88" s="420"/>
      <c r="K88" s="153"/>
      <c r="L88" s="154">
        <f ca="1">L89+L90</f>
        <v>203800</v>
      </c>
      <c r="M88" s="154">
        <f ca="1">M89+M90</f>
        <v>203800</v>
      </c>
      <c r="N88" s="154">
        <f ca="1">N89+N90</f>
        <v>203800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6"/>
      <c r="J89" s="616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6"/>
      <c r="J90" s="616"/>
      <c r="K90" s="92"/>
      <c r="L90" s="92">
        <f t="shared" ca="1" si="27"/>
        <v>203800</v>
      </c>
      <c r="M90" s="92">
        <f t="shared" ca="1" si="27"/>
        <v>203800</v>
      </c>
      <c r="N90" s="92">
        <f t="shared" ca="1" si="27"/>
        <v>203800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203800</v>
      </c>
      <c r="M91" s="497">
        <f ca="1">M92+M93</f>
        <v>203800</v>
      </c>
      <c r="N91" s="497">
        <f ca="1">N92+N93</f>
        <v>203800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IFERROR(__xludf.DUMMYFUNCTION("IMPORTRANGE(""https://docs.google.com/spreadsheets/d/1MeEWN-I1oV_STSDYn1IFDPWt_1FKiwhDph83XaGc0o0/edit?usp=sharing"",""งบพรบ!AQ77"")"),203800)</f>
        <v>203800</v>
      </c>
      <c r="M93" s="92">
        <f ca="1">IFERROR(__xludf.DUMMYFUNCTION("IMPORTRANGE(""https://docs.google.com/spreadsheets/d/1MeEWN-I1oV_STSDYn1IFDPWt_1FKiwhDph83XaGc0o0/edit?usp=sharing"",""งบพรบ!AV77"")"),203800)</f>
        <v>203800</v>
      </c>
      <c r="N93" s="92">
        <f ca="1">IFERROR(__xludf.DUMMYFUNCTION("IMPORTRANGE(""https://docs.google.com/spreadsheets/d/1MeEWN-I1oV_STSDYn1IFDPWt_1FKiwhDph83XaGc0o0/edit?usp=sharing"",""งบพรบ!AX77"")"),203800)</f>
        <v>203800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IFERROR(__xludf.DUMMYFUNCTION("IMPORTRANGE(""https://docs.google.com/spreadsheets/d/1MeEWN-I1oV_STSDYn1IFDPWt_1FKiwhDph83XaGc0o0/edit?usp=sharing"",""งบพรบ!AT77"")"),0)</f>
        <v>0</v>
      </c>
      <c r="M96" s="92">
        <f ca="1">IFERROR(__xludf.DUMMYFUNCTION("IMPORTRANGE(""https://docs.google.com/spreadsheets/d/1MeEWN-I1oV_STSDYn1IFDPWt_1FKiwhDph83XaGc0o0/edit?usp=sharing"",""งบพรบ!AW77"")"),0)</f>
        <v>0</v>
      </c>
      <c r="N96" s="92">
        <f ca="1">IFERROR(__xludf.DUMMYFUNCTION("IMPORTRANGE(""https://docs.google.com/spreadsheets/d/1MeEWN-I1oV_STSDYn1IFDPWt_1FKiwhDph83XaGc0o0/edit?usp=sharing"",""งบพรบ!AY77"")"),0)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47" t="s">
        <v>38</v>
      </c>
      <c r="E97" s="172"/>
      <c r="F97" s="172"/>
      <c r="G97" s="173"/>
      <c r="H97" s="761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7" t="s">
        <v>47</v>
      </c>
      <c r="E98" s="447"/>
      <c r="F98" s="177"/>
      <c r="G98" s="178"/>
      <c r="H98" s="622" t="s">
        <v>46</v>
      </c>
      <c r="I98" s="269">
        <f ca="1">IFERROR(__xludf.DUMMYFUNCTION("IMPORTRANGE(""https://docs.google.com/spreadsheets/d/1QqKyyYR6Q21VydFLVH3TRQUabQu_ym0Zz7PgGX0-kHA/edit?usp=sharing"",""แผน!K77"")"),0)</f>
        <v>0</v>
      </c>
      <c r="J98" s="269">
        <f>J102</f>
        <v>0</v>
      </c>
      <c r="K98" s="497">
        <f ca="1">IF(I98&gt;0,J98*100/I98,0)</f>
        <v>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7" t="s">
        <v>48</v>
      </c>
      <c r="E99" s="447"/>
      <c r="F99" s="177"/>
      <c r="G99" s="178"/>
      <c r="H99" s="622" t="s">
        <v>35</v>
      </c>
      <c r="I99" s="269">
        <f ca="1">IFERROR(__xludf.DUMMYFUNCTION("IMPORTRANGE(""https://docs.google.com/spreadsheets/d/1QqKyyYR6Q21VydFLVH3TRQUabQu_ym0Zz7PgGX0-kHA/edit?usp=sharing"",""แผน!L77"")"),0)</f>
        <v>0</v>
      </c>
      <c r="J99" s="269">
        <f>J104</f>
        <v>0</v>
      </c>
      <c r="K99" s="497">
        <f ca="1">IF(I99&gt;0,J99*100/I99,0)</f>
        <v>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22" t="s">
        <v>49</v>
      </c>
      <c r="I100" s="269">
        <f ca="1">IFERROR(__xludf.DUMMYFUNCTION("IMPORTRANGE(""https://docs.google.com/spreadsheets/d/1QqKyyYR6Q21VydFLVH3TRQUabQu_ym0Zz7PgGX0-kHA/edit?usp=sharing"",""แผน!M77"")"),2)</f>
        <v>2</v>
      </c>
      <c r="J100" s="269">
        <f>J107+J110</f>
        <v>2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22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5" t="s">
        <v>47</v>
      </c>
      <c r="F102" s="177"/>
      <c r="G102" s="178"/>
      <c r="H102" s="622" t="s">
        <v>46</v>
      </c>
      <c r="I102" s="269">
        <f ca="1">IFERROR(__xludf.DUMMYFUNCTION("IMPORTRANGE(""https://docs.google.com/spreadsheets/d/1QqKyyYR6Q21VydFLVH3TRQUabQu_ym0Zz7PgGX0-kHA/edit?usp=sharing"",""แผน!N77"")"),0)</f>
        <v>0</v>
      </c>
      <c r="J102" s="214">
        <v>0</v>
      </c>
      <c r="K102" s="497">
        <f ca="1">IF(I102&gt;0,J102*100/I102,0)</f>
        <v>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7" t="s">
        <v>51</v>
      </c>
      <c r="F103" s="177"/>
      <c r="G103" s="178"/>
      <c r="H103" s="622" t="s">
        <v>35</v>
      </c>
      <c r="I103" s="269">
        <f ca="1">IFERROR(__xludf.DUMMYFUNCTION("IMPORTRANGE(""https://docs.google.com/spreadsheets/d/1QqKyyYR6Q21VydFLVH3TRQUabQu_ym0Zz7PgGX0-kHA/edit?usp=sharing"",""แผน!O77"")"),0)</f>
        <v>0</v>
      </c>
      <c r="J103" s="214">
        <v>0</v>
      </c>
      <c r="K103" s="497">
        <f ca="1">IF(I103&gt;0,J103*100/I103,0)</f>
        <v>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22" t="s">
        <v>35</v>
      </c>
      <c r="I104" s="269">
        <f ca="1">IFERROR(__xludf.DUMMYFUNCTION("IMPORTRANGE(""https://docs.google.com/spreadsheets/d/1QqKyyYR6Q21VydFLVH3TRQUabQu_ym0Zz7PgGX0-kHA/edit?usp=sharing"",""แผน!O77"")"),0)</f>
        <v>0</v>
      </c>
      <c r="J104" s="214">
        <v>0</v>
      </c>
      <c r="K104" s="497">
        <f ca="1">IF(I104&gt;0,J104*100/I104,0)</f>
        <v>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7" t="s">
        <v>54</v>
      </c>
      <c r="F106" s="177"/>
      <c r="G106" s="178"/>
      <c r="H106" s="622" t="s">
        <v>49</v>
      </c>
      <c r="I106" s="269">
        <f ca="1">IFERROR(__xludf.DUMMYFUNCTION("IMPORTRANGE(""https://docs.google.com/spreadsheets/d/1QqKyyYR6Q21VydFLVH3TRQUabQu_ym0Zz7PgGX0-kHA/edit?usp=sharing"",""แผน!P77"")"),1)</f>
        <v>1</v>
      </c>
      <c r="J106" s="21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22" t="s">
        <v>49</v>
      </c>
      <c r="I107" s="269">
        <f ca="1">IFERROR(__xludf.DUMMYFUNCTION("IMPORTRANGE(""https://docs.google.com/spreadsheets/d/1QqKyyYR6Q21VydFLVH3TRQUabQu_ym0Zz7PgGX0-kHA/edit?usp=sharing"",""แผน!P77"")"),1)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7" t="s">
        <v>57</v>
      </c>
      <c r="F109" s="177"/>
      <c r="G109" s="178"/>
      <c r="H109" s="622" t="s">
        <v>49</v>
      </c>
      <c r="I109" s="269">
        <f ca="1">IFERROR(__xludf.DUMMYFUNCTION("IMPORTRANGE(""https://docs.google.com/spreadsheets/d/1QqKyyYR6Q21VydFLVH3TRQUabQu_ym0Zz7PgGX0-kHA/edit?usp=sharing"",""แผน!Q77"")"),1)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22" t="s">
        <v>49</v>
      </c>
      <c r="I110" s="269">
        <f ca="1">IFERROR(__xludf.DUMMYFUNCTION("IMPORTRANGE(""https://docs.google.com/spreadsheets/d/1QqKyyYR6Q21VydFLVH3TRQUabQu_ym0Zz7PgGX0-kHA/edit?usp=sharing"",""แผน!Q77"")"),1)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6" t="s">
        <v>35</v>
      </c>
      <c r="I111" s="192">
        <f ca="1">IFERROR(__xludf.DUMMYFUNCTION("IMPORTRANGE(""https://docs.google.com/spreadsheets/d/1QqKyyYR6Q21VydFLVH3TRQUabQu_ym0Zz7PgGX0-kHA/edit?usp=sharing"",""แผน!R77"")"),0)</f>
        <v>0</v>
      </c>
      <c r="J111" s="680">
        <f>J114</f>
        <v>0</v>
      </c>
      <c r="K111" s="194">
        <f t="shared" ca="1" si="28"/>
        <v>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2</v>
      </c>
      <c r="J112" s="680">
        <f>J115+J116</f>
        <v>2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31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IFERROR(__xludf.DUMMYFUNCTION("IMPORTRANGE(""https://docs.google.com/spreadsheets/d/1QqKyyYR6Q21VydFLVH3TRQUabQu_ym0Zz7PgGX0-kHA/edit?usp=sharing"",""แผน!R77"")"),0)</f>
        <v>0</v>
      </c>
      <c r="J113" s="214">
        <v>0</v>
      </c>
      <c r="K113" s="497">
        <f t="shared" ca="1" si="28"/>
        <v>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7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IFERROR(__xludf.DUMMYFUNCTION("IMPORTRANGE(""https://docs.google.com/spreadsheets/d/1QqKyyYR6Q21VydFLVH3TRQUabQu_ym0Zz7PgGX0-kHA/edit?usp=sharing"",""แผน!R77"")"),0)</f>
        <v>0</v>
      </c>
      <c r="J114" s="214">
        <v>0</v>
      </c>
      <c r="K114" s="497">
        <f t="shared" ca="1" si="28"/>
        <v>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7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IFERROR(__xludf.DUMMYFUNCTION("IMPORTRANGE(""https://docs.google.com/spreadsheets/d/1QqKyyYR6Q21VydFLVH3TRQUabQu_ym0Zz7PgGX0-kHA/edit?usp=sharing"",""แผน!S77"")"),1)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7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IFERROR(__xludf.DUMMYFUNCTION("IMPORTRANGE(""https://docs.google.com/spreadsheets/d/1QqKyyYR6Q21VydFLVH3TRQUabQu_ym0Zz7PgGX0-kHA/edit?usp=sharing"",""แผน!T77"")"),1)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46" t="s">
        <v>17</v>
      </c>
      <c r="E119" s="147"/>
      <c r="F119" s="147"/>
      <c r="G119" s="150"/>
      <c r="H119" s="151" t="s">
        <v>12</v>
      </c>
      <c r="I119" s="420"/>
      <c r="J119" s="420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6"/>
      <c r="J120" s="616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6"/>
      <c r="J121" s="616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IFERROR(__xludf.DUMMYFUNCTION("IMPORTRANGE(""https://docs.google.com/spreadsheets/d/1MeEWN-I1oV_STSDYn1IFDPWt_1FKiwhDph83XaGc0o0/edit?usp=sharing"",""งบพรบ!BA77"")"),0)</f>
        <v>0</v>
      </c>
      <c r="M124" s="92">
        <f ca="1">IFERROR(__xludf.DUMMYFUNCTION("IMPORTRANGE(""https://docs.google.com/spreadsheets/d/1MeEWN-I1oV_STSDYn1IFDPWt_1FKiwhDph83XaGc0o0/edit?usp=sharing"",""งบพรบ!BF77"")"),0)</f>
        <v>0</v>
      </c>
      <c r="N124" s="92">
        <f ca="1">IFERROR(__xludf.DUMMYFUNCTION("IMPORTRANGE(""https://docs.google.com/spreadsheets/d/1MeEWN-I1oV_STSDYn1IFDPWt_1FKiwhDph83XaGc0o0/edit?usp=sharing"",""งบพรบ!BH77"")"),0)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IFERROR(__xludf.DUMMYFUNCTION("IMPORTRANGE(""https://docs.google.com/spreadsheets/d/1MeEWN-I1oV_STSDYn1IFDPWt_1FKiwhDph83XaGc0o0/edit?usp=sharing"",""งบพรบ!BD77"")"),0)</f>
        <v>0</v>
      </c>
      <c r="M127" s="92">
        <f ca="1">IFERROR(__xludf.DUMMYFUNCTION("IMPORTRANGE(""https://docs.google.com/spreadsheets/d/1MeEWN-I1oV_STSDYn1IFDPWt_1FKiwhDph83XaGc0o0/edit?usp=sharing"",""งบพรบ!BG77"")"),0)</f>
        <v>0</v>
      </c>
      <c r="N127" s="92">
        <f ca="1">IFERROR(__xludf.DUMMYFUNCTION("IMPORTRANGE(""https://docs.google.com/spreadsheets/d/1MeEWN-I1oV_STSDYn1IFDPWt_1FKiwhDph83XaGc0o0/edit?usp=sharing"",""งบพรบ!BI77"")"),0)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46" t="s">
        <v>17</v>
      </c>
      <c r="E132" s="147"/>
      <c r="F132" s="147"/>
      <c r="G132" s="150"/>
      <c r="H132" s="151" t="s">
        <v>12</v>
      </c>
      <c r="I132" s="420"/>
      <c r="J132" s="420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6"/>
      <c r="J133" s="616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6"/>
      <c r="J134" s="616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IFERROR(__xludf.DUMMYFUNCTION("IMPORTRANGE(""https://docs.google.com/spreadsheets/d/1MeEWN-I1oV_STSDYn1IFDPWt_1FKiwhDph83XaGc0o0/edit?usp=sharing"",""งบพรบ!BK77"")"),0)</f>
        <v>0</v>
      </c>
      <c r="M137" s="92">
        <f ca="1">IFERROR(__xludf.DUMMYFUNCTION("IMPORTRANGE(""https://docs.google.com/spreadsheets/d/1MeEWN-I1oV_STSDYn1IFDPWt_1FKiwhDph83XaGc0o0/edit?usp=sharing"",""งบพรบ!BP77"")"),0)</f>
        <v>0</v>
      </c>
      <c r="N137" s="92">
        <f ca="1">IFERROR(__xludf.DUMMYFUNCTION("IMPORTRANGE(""https://docs.google.com/spreadsheets/d/1MeEWN-I1oV_STSDYn1IFDPWt_1FKiwhDph83XaGc0o0/edit?usp=sharing"",""งบพรบ!BR77"")"),0)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IFERROR(__xludf.DUMMYFUNCTION("IMPORTRANGE(""https://docs.google.com/spreadsheets/d/1MeEWN-I1oV_STSDYn1IFDPWt_1FKiwhDph83XaGc0o0/edit?usp=sharing"",""งบพรบ!BN77"")"),0)</f>
        <v>0</v>
      </c>
      <c r="M140" s="92">
        <f ca="1">IFERROR(__xludf.DUMMYFUNCTION("IMPORTRANGE(""https://docs.google.com/spreadsheets/d/1MeEWN-I1oV_STSDYn1IFDPWt_1FKiwhDph83XaGc0o0/edit?usp=sharing"",""งบพรบ!BQ77"")"),0)</f>
        <v>0</v>
      </c>
      <c r="N140" s="92">
        <f ca="1">IFERROR(__xludf.DUMMYFUNCTION("IMPORTRANGE(""https://docs.google.com/spreadsheets/d/1MeEWN-I1oV_STSDYn1IFDPWt_1FKiwhDph83XaGc0o0/edit?usp=sharing"",""งบพรบ!BS77"")"),0)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4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IFERROR(__xludf.DUMMYFUNCTION("IMPORTRANGE(""https://docs.google.com/spreadsheets/d/1QqKyyYR6Q21VydFLVH3TRQUabQu_ym0Zz7PgGX0-kHA/edit?usp=sharing"",""แผน!U77"")"),0)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IFERROR(__xludf.DUMMYFUNCTION("IMPORTRANGE(""https://docs.google.com/spreadsheets/d/1QqKyyYR6Q21VydFLVH3TRQUabQu_ym0Zz7PgGX0-kHA/edit?usp=sharing"",""แผน!V77"")"),0)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IFERROR(__xludf.DUMMYFUNCTION("IMPORTRANGE(""https://docs.google.com/spreadsheets/d/1QqKyyYR6Q21VydFLVH3TRQUabQu_ym0Zz7PgGX0-kHA/edit?usp=sharing"",""แผน!W77"")"),0)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 hidden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 hidden="1">
      <c r="A148" s="216"/>
      <c r="B148" s="208" t="s">
        <v>77</v>
      </c>
      <c r="C148" s="208"/>
      <c r="D148" s="208"/>
      <c r="E148" s="859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6"/>
      <c r="B149" s="147"/>
      <c r="C149" s="148" t="s">
        <v>16</v>
      </c>
      <c r="D149" s="846" t="s">
        <v>17</v>
      </c>
      <c r="E149" s="147"/>
      <c r="F149" s="147"/>
      <c r="G149" s="150"/>
      <c r="H149" s="151" t="s">
        <v>12</v>
      </c>
      <c r="I149" s="420"/>
      <c r="J149" s="420"/>
      <c r="K149" s="153"/>
      <c r="L149" s="154">
        <f ca="1">L150+L151</f>
        <v>0</v>
      </c>
      <c r="M149" s="154">
        <f ca="1">M150+M151</f>
        <v>0</v>
      </c>
      <c r="N149" s="154">
        <f ca="1">N150+N151</f>
        <v>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6"/>
      <c r="J150" s="616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6"/>
      <c r="J151" s="616"/>
      <c r="K151" s="92"/>
      <c r="L151" s="92">
        <f t="shared" ca="1" si="37"/>
        <v>0</v>
      </c>
      <c r="M151" s="92">
        <f t="shared" ca="1" si="37"/>
        <v>0</v>
      </c>
      <c r="N151" s="92">
        <f t="shared" ca="1" si="37"/>
        <v>0</v>
      </c>
      <c r="O151" s="92">
        <f t="shared" ca="1" si="35"/>
        <v>0</v>
      </c>
      <c r="P151" s="92">
        <f t="shared" ca="1" si="36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0</v>
      </c>
      <c r="N152" s="497">
        <f ca="1">N153+N154</f>
        <v>0</v>
      </c>
      <c r="O152" s="497">
        <f t="shared" ca="1" si="35"/>
        <v>0</v>
      </c>
      <c r="P152" s="497">
        <f t="shared" ca="1" si="36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IFERROR(__xludf.DUMMYFUNCTION("IMPORTRANGE(""https://docs.google.com/spreadsheets/d/1MeEWN-I1oV_STSDYn1IFDPWt_1FKiwhDph83XaGc0o0/edit?usp=sharing"",""งบพรบ!BU77"")"),0)</f>
        <v>0</v>
      </c>
      <c r="M154" s="92">
        <f ca="1">IFERROR(__xludf.DUMMYFUNCTION("IMPORTRANGE(""https://docs.google.com/spreadsheets/d/1MeEWN-I1oV_STSDYn1IFDPWt_1FKiwhDph83XaGc0o0/edit?usp=sharing"",""งบพรบ!BZ77"")"),0)</f>
        <v>0</v>
      </c>
      <c r="N154" s="92">
        <f ca="1">IFERROR(__xludf.DUMMYFUNCTION("IMPORTRANGE(""https://docs.google.com/spreadsheets/d/1MeEWN-I1oV_STSDYn1IFDPWt_1FKiwhDph83XaGc0o0/edit?usp=sharing"",""งบพรบ!CB77"")"),0)</f>
        <v>0</v>
      </c>
      <c r="O154" s="92">
        <f t="shared" ca="1" si="35"/>
        <v>0</v>
      </c>
      <c r="P154" s="92">
        <f t="shared" ca="1" si="36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IFERROR(__xludf.DUMMYFUNCTION("IMPORTRANGE(""https://docs.google.com/spreadsheets/d/1MeEWN-I1oV_STSDYn1IFDPWt_1FKiwhDph83XaGc0o0/edit?usp=sharing"",""งบพรบ!BX77"")"),0)</f>
        <v>0</v>
      </c>
      <c r="M157" s="92">
        <f ca="1">IFERROR(__xludf.DUMMYFUNCTION("IMPORTRANGE(""https://docs.google.com/spreadsheets/d/1MeEWN-I1oV_STSDYn1IFDPWt_1FKiwhDph83XaGc0o0/edit?usp=sharing"",""งบพรบ!CA77"")"),0)</f>
        <v>0</v>
      </c>
      <c r="N157" s="92">
        <f ca="1">IFERROR(__xludf.DUMMYFUNCTION("IMPORTRANGE(""https://docs.google.com/spreadsheets/d/1MeEWN-I1oV_STSDYn1IFDPWt_1FKiwhDph83XaGc0o0/edit?usp=sharing"",""งบพรบ!CC77"")"),0)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4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IFERROR(__xludf.DUMMYFUNCTION("IMPORTRANGE(""https://docs.google.com/spreadsheets/d/1QqKyyYR6Q21VydFLVH3TRQUabQu_ym0Zz7PgGX0-kHA/edit?usp=sharing"",""แผน!X77"")"),0)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6"/>
      <c r="J160" s="616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58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13</v>
      </c>
      <c r="J164" s="252">
        <f>J174+J177</f>
        <v>13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46" t="s">
        <v>17</v>
      </c>
      <c r="E165" s="147"/>
      <c r="F165" s="147"/>
      <c r="G165" s="150"/>
      <c r="H165" s="151" t="s">
        <v>12</v>
      </c>
      <c r="I165" s="420"/>
      <c r="J165" s="420"/>
      <c r="K165" s="153"/>
      <c r="L165" s="154">
        <f ca="1">L166+L167</f>
        <v>24065</v>
      </c>
      <c r="M165" s="154">
        <f ca="1">M166+M167</f>
        <v>77315</v>
      </c>
      <c r="N165" s="154">
        <f ca="1">N166+N167</f>
        <v>77315</v>
      </c>
      <c r="O165" s="154">
        <f t="shared" ref="O165:O173" ca="1" si="38">IF(L165&gt;0,N165*100/L165,0)</f>
        <v>321.27571161437771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6"/>
      <c r="J166" s="616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6"/>
      <c r="J167" s="616"/>
      <c r="K167" s="92"/>
      <c r="L167" s="92">
        <f t="shared" ca="1" si="40"/>
        <v>24065</v>
      </c>
      <c r="M167" s="92">
        <f t="shared" ca="1" si="40"/>
        <v>77315</v>
      </c>
      <c r="N167" s="92">
        <f t="shared" ca="1" si="40"/>
        <v>77315</v>
      </c>
      <c r="O167" s="92">
        <f t="shared" ca="1" si="38"/>
        <v>321.27571161437771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24065</v>
      </c>
      <c r="M168" s="497">
        <f ca="1">M169+M170</f>
        <v>77315</v>
      </c>
      <c r="N168" s="497">
        <f ca="1">N169+N170</f>
        <v>77315</v>
      </c>
      <c r="O168" s="497">
        <f t="shared" ca="1" si="38"/>
        <v>321.27571161437771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IFERROR(__xludf.DUMMYFUNCTION("IMPORTRANGE(""https://docs.google.com/spreadsheets/d/1MeEWN-I1oV_STSDYn1IFDPWt_1FKiwhDph83XaGc0o0/edit?usp=sharing"",""งบพรบ!CE77"")"),24065)</f>
        <v>24065</v>
      </c>
      <c r="M170" s="92">
        <f ca="1">IFERROR(__xludf.DUMMYFUNCTION("IMPORTRANGE(""https://docs.google.com/spreadsheets/d/1MeEWN-I1oV_STSDYn1IFDPWt_1FKiwhDph83XaGc0o0/edit?usp=sharing"",""งบพรบ!CJ77"")"),77315)</f>
        <v>77315</v>
      </c>
      <c r="N170" s="92">
        <f ca="1">IFERROR(__xludf.DUMMYFUNCTION("IMPORTRANGE(""https://docs.google.com/spreadsheets/d/1MeEWN-I1oV_STSDYn1IFDPWt_1FKiwhDph83XaGc0o0/edit?usp=sharing"",""งบพรบ!CL77"")"),77315)</f>
        <v>77315</v>
      </c>
      <c r="O170" s="92">
        <f t="shared" ca="1" si="38"/>
        <v>321.27571161437771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IFERROR(__xludf.DUMMYFUNCTION("IMPORTRANGE(""https://docs.google.com/spreadsheets/d/1MeEWN-I1oV_STSDYn1IFDPWt_1FKiwhDph83XaGc0o0/edit?usp=sharing"",""งบพรบ!CH77"")"),0)</f>
        <v>0</v>
      </c>
      <c r="M173" s="92">
        <f ca="1">IFERROR(__xludf.DUMMYFUNCTION("IMPORTRANGE(""https://docs.google.com/spreadsheets/d/1MeEWN-I1oV_STSDYn1IFDPWt_1FKiwhDph83XaGc0o0/edit?usp=sharing"",""งบพรบ!CK77"")"),0)</f>
        <v>0</v>
      </c>
      <c r="N173" s="92">
        <f ca="1">IFERROR(__xludf.DUMMYFUNCTION("IMPORTRANGE(""https://docs.google.com/spreadsheets/d/1MeEWN-I1oV_STSDYn1IFDPWt_1FKiwhDph83XaGc0o0/edit?usp=sharing"",""งบพรบ!CM77"")"),0)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13</v>
      </c>
      <c r="J174" s="260">
        <f>J176</f>
        <v>13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47" t="s">
        <v>38</v>
      </c>
      <c r="E175" s="172"/>
      <c r="F175" s="172"/>
      <c r="G175" s="173"/>
      <c r="H175" s="761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5" t="s">
        <v>85</v>
      </c>
      <c r="E176" s="177"/>
      <c r="F176" s="177"/>
      <c r="G176" s="178"/>
      <c r="H176" s="622" t="s">
        <v>35</v>
      </c>
      <c r="I176" s="269">
        <f ca="1">IFERROR(__xludf.DUMMYFUNCTION("IMPORTRANGE(""https://docs.google.com/spreadsheets/d/1QqKyyYR6Q21VydFLVH3TRQUabQu_ym0Zz7PgGX0-kHA/edit?usp=sharing"",""แผน!Y77"")"),13)</f>
        <v>13</v>
      </c>
      <c r="J176" s="214">
        <v>13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61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10</v>
      </c>
      <c r="J180" s="252">
        <f>J225+J226</f>
        <v>10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46" t="s">
        <v>17</v>
      </c>
      <c r="E181" s="147"/>
      <c r="F181" s="147"/>
      <c r="G181" s="150"/>
      <c r="H181" s="151" t="s">
        <v>12</v>
      </c>
      <c r="I181" s="420"/>
      <c r="J181" s="420"/>
      <c r="K181" s="153"/>
      <c r="L181" s="154">
        <f ca="1">L182+L183</f>
        <v>206200</v>
      </c>
      <c r="M181" s="154">
        <f ca="1">M182+M183</f>
        <v>206200</v>
      </c>
      <c r="N181" s="154">
        <f ca="1">N182+N183</f>
        <v>206200</v>
      </c>
      <c r="O181" s="154">
        <f t="shared" ref="O181:O189" ca="1" si="41">IF(L181&gt;0,N181*100/L181,0)</f>
        <v>100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6"/>
      <c r="J182" s="616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6"/>
      <c r="J183" s="616"/>
      <c r="K183" s="92"/>
      <c r="L183" s="92">
        <f t="shared" ca="1" si="43"/>
        <v>206200</v>
      </c>
      <c r="M183" s="92">
        <f t="shared" ca="1" si="43"/>
        <v>206200</v>
      </c>
      <c r="N183" s="92">
        <f t="shared" ca="1" si="43"/>
        <v>206200</v>
      </c>
      <c r="O183" s="92">
        <f t="shared" ca="1" si="41"/>
        <v>100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206200</v>
      </c>
      <c r="M184" s="497">
        <f ca="1">M185+M186</f>
        <v>206200</v>
      </c>
      <c r="N184" s="497">
        <f ca="1">N185+N186</f>
        <v>206200</v>
      </c>
      <c r="O184" s="497">
        <f t="shared" ca="1" si="41"/>
        <v>100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IFERROR(__xludf.DUMMYFUNCTION("IMPORTRANGE(""https://docs.google.com/spreadsheets/d/1MeEWN-I1oV_STSDYn1IFDPWt_1FKiwhDph83XaGc0o0/edit?usp=sharing"",""งบพรบ!CO77"")"),206200)</f>
        <v>206200</v>
      </c>
      <c r="M186" s="92">
        <f ca="1">IFERROR(__xludf.DUMMYFUNCTION("IMPORTRANGE(""https://docs.google.com/spreadsheets/d/1MeEWN-I1oV_STSDYn1IFDPWt_1FKiwhDph83XaGc0o0/edit?usp=sharing"",""งบพรบ!CT77"")"),206200)</f>
        <v>206200</v>
      </c>
      <c r="N186" s="92">
        <f ca="1">IFERROR(__xludf.DUMMYFUNCTION("IMPORTRANGE(""https://docs.google.com/spreadsheets/d/1MeEWN-I1oV_STSDYn1IFDPWt_1FKiwhDph83XaGc0o0/edit?usp=sharing"",""งบพรบ!CV77"")"),206200)</f>
        <v>206200</v>
      </c>
      <c r="O186" s="92">
        <f t="shared" ca="1" si="41"/>
        <v>100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IFERROR(__xludf.DUMMYFUNCTION("IMPORTRANGE(""https://docs.google.com/spreadsheets/d/1MeEWN-I1oV_STSDYn1IFDPWt_1FKiwhDph83XaGc0o0/edit?usp=sharing"",""งบพรบ!CR77"")"),0)</f>
        <v>0</v>
      </c>
      <c r="M189" s="92">
        <f ca="1">IFERROR(__xludf.DUMMYFUNCTION("IMPORTRANGE(""https://docs.google.com/spreadsheets/d/1MeEWN-I1oV_STSDYn1IFDPWt_1FKiwhDph83XaGc0o0/edit?usp=sharing"",""งบพรบ!CU77"")"),0)</f>
        <v>0</v>
      </c>
      <c r="N189" s="92">
        <f ca="1">IFERROR(__xludf.DUMMYFUNCTION("IMPORTRANGE(""https://docs.google.com/spreadsheets/d/1MeEWN-I1oV_STSDYn1IFDPWt_1FKiwhDph83XaGc0o0/edit?usp=sharing"",""งบพรบ!CW77"")"),0)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54" t="s">
        <v>17</v>
      </c>
      <c r="E191" s="147"/>
      <c r="F191" s="147"/>
      <c r="G191" s="150"/>
      <c r="H191" s="274" t="s">
        <v>12</v>
      </c>
      <c r="I191" s="420"/>
      <c r="J191" s="420"/>
      <c r="K191" s="153"/>
      <c r="L191" s="154">
        <f ca="1">IFERROR(__xludf.DUMMYFUNCTION("IMPORTRANGE(""https://docs.google.com/spreadsheets/d/1QqKyyYR6Q21VydFLVH3TRQUabQu_ym0Zz7PgGX0-kHA/edit?usp=sharing"",""แผน!Z77"")"),6000)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47" t="s">
        <v>38</v>
      </c>
      <c r="E192" s="172"/>
      <c r="F192" s="172"/>
      <c r="G192" s="173"/>
      <c r="H192" s="761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7" t="s">
        <v>91</v>
      </c>
      <c r="E193" s="177"/>
      <c r="F193" s="177"/>
      <c r="G193" s="178"/>
      <c r="H193" s="763" t="s">
        <v>90</v>
      </c>
      <c r="I193" s="269">
        <f ca="1">IFERROR(__xludf.DUMMYFUNCTION("IMPORTRANGE(""https://docs.google.com/spreadsheets/d/1QqKyyYR6Q21VydFLVH3TRQUabQu_ym0Zz7PgGX0-kHA/edit?usp=sharing"",""แผน!AC77"")"),4)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7" t="s">
        <v>92</v>
      </c>
      <c r="E194" s="177"/>
      <c r="F194" s="177"/>
      <c r="G194" s="178"/>
      <c r="H194" s="276" t="s">
        <v>35</v>
      </c>
      <c r="I194" s="269"/>
      <c r="J194" s="269">
        <f>J195+J196</f>
        <v>142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7" t="s">
        <v>93</v>
      </c>
      <c r="F195" s="177"/>
      <c r="G195" s="178"/>
      <c r="H195" s="276" t="s">
        <v>35</v>
      </c>
      <c r="I195" s="269"/>
      <c r="J195" s="214">
        <v>142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7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1</v>
      </c>
      <c r="J197" s="271">
        <f>J204</f>
        <v>1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54" t="s">
        <v>17</v>
      </c>
      <c r="E198" s="147"/>
      <c r="F198" s="147"/>
      <c r="G198" s="150"/>
      <c r="H198" s="274" t="s">
        <v>12</v>
      </c>
      <c r="I198" s="419"/>
      <c r="J198" s="419"/>
      <c r="K198" s="279"/>
      <c r="L198" s="154">
        <f ca="1">L199+L200+L201+L202</f>
        <v>13000</v>
      </c>
      <c r="M198" s="154"/>
      <c r="N198" s="154">
        <f>N199+N200+N201+N202</f>
        <v>13000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IFERROR(__xludf.DUMMYFUNCTION("IMPORTRANGE(""https://docs.google.com/spreadsheets/d/1QqKyyYR6Q21VydFLVH3TRQUabQu_ym0Zz7PgGX0-kHA/edit?usp=sharing"",""แผน!AE77"")"),1000)</f>
        <v>1000</v>
      </c>
      <c r="M199" s="497"/>
      <c r="N199" s="826">
        <v>1000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3"/>
      <c r="B200" s="280"/>
      <c r="C200" s="210"/>
      <c r="D200" s="281" t="s">
        <v>98</v>
      </c>
      <c r="E200" s="32"/>
      <c r="F200" s="32"/>
      <c r="G200" s="34"/>
      <c r="H200" s="622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IFERROR(__xludf.DUMMYFUNCTION("IMPORTRANGE(""https://docs.google.com/spreadsheets/d/1QqKyyYR6Q21VydFLVH3TRQUabQu_ym0Zz7PgGX0-kHA/edit?usp=sharing"",""แผน!AF77"")"),8000)</f>
        <v>8000</v>
      </c>
      <c r="M200" s="497"/>
      <c r="N200" s="826">
        <v>8000</v>
      </c>
      <c r="O200" s="497"/>
      <c r="P200" s="497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2"/>
      <c r="F201" s="32"/>
      <c r="G201" s="34"/>
      <c r="H201" s="622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IFERROR(__xludf.DUMMYFUNCTION("IMPORTRANGE(""https://docs.google.com/spreadsheets/d/1QqKyyYR6Q21VydFLVH3TRQUabQu_ym0Zz7PgGX0-kHA/edit?usp=sharing"",""แผน!AG77"")"),4000)</f>
        <v>4000</v>
      </c>
      <c r="M201" s="497"/>
      <c r="N201" s="826">
        <v>4000</v>
      </c>
      <c r="O201" s="497"/>
      <c r="P201" s="497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2"/>
      <c r="F202" s="32"/>
      <c r="G202" s="34"/>
      <c r="H202" s="622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IFERROR(__xludf.DUMMYFUNCTION("IMPORTRANGE(""https://docs.google.com/spreadsheets/d/1QqKyyYR6Q21VydFLVH3TRQUabQu_ym0Zz7PgGX0-kHA/edit?usp=sharing"",""แผน!AH77"")"),0)</f>
        <v>0</v>
      </c>
      <c r="M202" s="497"/>
      <c r="N202" s="826">
        <v>0</v>
      </c>
      <c r="O202" s="497"/>
      <c r="P202" s="497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69"/>
      <c r="B203" s="170"/>
      <c r="C203" s="210" t="s">
        <v>16</v>
      </c>
      <c r="D203" s="847" t="s">
        <v>38</v>
      </c>
      <c r="E203" s="172"/>
      <c r="F203" s="172"/>
      <c r="G203" s="173"/>
      <c r="H203" s="761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61" t="s">
        <v>96</v>
      </c>
      <c r="I204" s="269">
        <f ca="1">IFERROR(__xludf.DUMMYFUNCTION("IMPORTRANGE(""https://docs.google.com/spreadsheets/d/1QqKyyYR6Q21VydFLVH3TRQUabQu_ym0Zz7PgGX0-kHA/edit?usp=sharing"",""แผน!AI77"")"),1)</f>
        <v>1</v>
      </c>
      <c r="J204" s="214">
        <v>1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7" t="s">
        <v>59</v>
      </c>
      <c r="E205" s="177"/>
      <c r="F205" s="177"/>
      <c r="G205" s="178"/>
      <c r="H205" s="761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31" t="s">
        <v>102</v>
      </c>
      <c r="F206" s="286"/>
      <c r="G206" s="287"/>
      <c r="H206" s="288" t="s">
        <v>96</v>
      </c>
      <c r="I206" s="269">
        <v>1</v>
      </c>
      <c r="J206" s="214">
        <v>1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7"/>
      <c r="E207" s="447" t="s">
        <v>103</v>
      </c>
      <c r="F207" s="177"/>
      <c r="G207" s="177"/>
      <c r="H207" s="289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54" t="s">
        <v>17</v>
      </c>
      <c r="E209" s="147"/>
      <c r="F209" s="147"/>
      <c r="G209" s="150"/>
      <c r="H209" s="274" t="s">
        <v>12</v>
      </c>
      <c r="I209" s="419"/>
      <c r="J209" s="419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IFERROR(__xludf.DUMMYFUNCTION("IMPORTRANGE(""https://docs.google.com/spreadsheets/d/1QqKyyYR6Q21VydFLVH3TRQUabQu_ym0Zz7PgGX0-kHA/edit?usp=sharing"",""แผน!AK77"")"),0)</f>
        <v>0</v>
      </c>
      <c r="M210" s="497"/>
      <c r="N210" s="826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3"/>
      <c r="B211" s="280"/>
      <c r="C211" s="291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IFERROR(__xludf.DUMMYFUNCTION("IMPORTRANGE(""https://docs.google.com/spreadsheets/d/1QqKyyYR6Q21VydFLVH3TRQUabQu_ym0Zz7PgGX0-kHA/edit?usp=sharing"",""แผน!AL77"")"),0)</f>
        <v>0</v>
      </c>
      <c r="M211" s="497"/>
      <c r="N211" s="826">
        <v>0</v>
      </c>
      <c r="O211" s="497"/>
      <c r="P211" s="497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IFERROR(__xludf.DUMMYFUNCTION("IMPORTRANGE(""https://docs.google.com/spreadsheets/d/1QqKyyYR6Q21VydFLVH3TRQUabQu_ym0Zz7PgGX0-kHA/edit?usp=sharing"",""แผน!AM77"")"),0)</f>
        <v>0</v>
      </c>
      <c r="M212" s="497"/>
      <c r="N212" s="826">
        <v>0</v>
      </c>
      <c r="O212" s="497"/>
      <c r="P212" s="497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69"/>
      <c r="B213" s="170"/>
      <c r="C213" s="291" t="s">
        <v>16</v>
      </c>
      <c r="D213" s="847" t="s">
        <v>38</v>
      </c>
      <c r="E213" s="172"/>
      <c r="F213" s="172"/>
      <c r="G213" s="173"/>
      <c r="H213" s="761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61" t="s">
        <v>96</v>
      </c>
      <c r="I214" s="269">
        <f ca="1">IFERROR(__xludf.DUMMYFUNCTION("IMPORTRANGE(""https://docs.google.com/spreadsheets/d/1QqKyyYR6Q21VydFLVH3TRQUabQu_ym0Zz7PgGX0-kHA/edit?usp=sharing"",""แผน!AN77"")"),0)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61" t="s">
        <v>96</v>
      </c>
      <c r="I215" s="269">
        <f ca="1">IFERROR(__xludf.DUMMYFUNCTION("IMPORTRANGE(""https://docs.google.com/spreadsheets/d/1QqKyyYR6Q21VydFLVH3TRQUabQu_ym0Zz7PgGX0-kHA/edit?usp=sharing"",""แผน!AN77"")"),0)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ca="1">I224</f>
        <v>10000</v>
      </c>
      <c r="J216" s="271">
        <f>J224</f>
        <v>10000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54" t="s">
        <v>17</v>
      </c>
      <c r="E217" s="147"/>
      <c r="F217" s="147"/>
      <c r="G217" s="150"/>
      <c r="H217" s="274" t="s">
        <v>12</v>
      </c>
      <c r="I217" s="419"/>
      <c r="J217" s="419"/>
      <c r="K217" s="279"/>
      <c r="L217" s="154">
        <f ca="1">L218+L219+L220</f>
        <v>16500</v>
      </c>
      <c r="M217" s="154"/>
      <c r="N217" s="154">
        <f>N218+N219+N220</f>
        <v>16500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IFERROR(__xludf.DUMMYFUNCTION("IMPORTRANGE(""https://docs.google.com/spreadsheets/d/1QqKyyYR6Q21VydFLVH3TRQUabQu_ym0Zz7PgGX0-kHA/edit?usp=sharing"",""แผน!AP77"")"),3000)</f>
        <v>3000</v>
      </c>
      <c r="M218" s="497"/>
      <c r="N218" s="826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3"/>
      <c r="B219" s="280"/>
      <c r="C219" s="291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IFERROR(__xludf.DUMMYFUNCTION("IMPORTRANGE(""https://docs.google.com/spreadsheets/d/1QqKyyYR6Q21VydFLVH3TRQUabQu_ym0Zz7PgGX0-kHA/edit?usp=sharing"",""แผน!AQ77"")"),3500)</f>
        <v>3500</v>
      </c>
      <c r="M219" s="497"/>
      <c r="N219" s="826">
        <v>3500</v>
      </c>
      <c r="O219" s="497"/>
      <c r="P219" s="497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IFERROR(__xludf.DUMMYFUNCTION("IMPORTRANGE(""https://docs.google.com/spreadsheets/d/1QqKyyYR6Q21VydFLVH3TRQUabQu_ym0Zz7PgGX0-kHA/edit?usp=sharing"",""แผน!AR77"")"),10000)</f>
        <v>10000</v>
      </c>
      <c r="M220" s="497"/>
      <c r="N220" s="826">
        <v>10000</v>
      </c>
      <c r="O220" s="497"/>
      <c r="P220" s="497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69"/>
      <c r="B221" s="170"/>
      <c r="C221" s="291" t="s">
        <v>16</v>
      </c>
      <c r="D221" s="847" t="s">
        <v>38</v>
      </c>
      <c r="E221" s="172"/>
      <c r="F221" s="172"/>
      <c r="G221" s="173"/>
      <c r="H221" s="761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61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63" t="s">
        <v>109</v>
      </c>
      <c r="I223" s="269">
        <f ca="1">IFERROR(__xludf.DUMMYFUNCTION("IMPORTRANGE(""https://docs.google.com/spreadsheets/d/1QqKyyYR6Q21VydFLVH3TRQUabQu_ym0Zz7PgGX0-kHA/edit?usp=sharing"",""แผน!AT77"")"),10000)</f>
        <v>10000</v>
      </c>
      <c r="J223" s="214">
        <v>10000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63" t="s">
        <v>109</v>
      </c>
      <c r="I224" s="269">
        <f ca="1">IFERROR(__xludf.DUMMYFUNCTION("IMPORTRANGE(""https://docs.google.com/spreadsheets/d/1QqKyyYR6Q21VydFLVH3TRQUabQu_ym0Zz7PgGX0-kHA/edit?usp=sharing"",""แผน!AT77"")"),10000)</f>
        <v>10000</v>
      </c>
      <c r="J224" s="214">
        <v>10000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63" t="s">
        <v>35</v>
      </c>
      <c r="I225" s="269">
        <f ca="1">IFERROR(__xludf.DUMMYFUNCTION("IMPORTRANGE(""https://docs.google.com/spreadsheets/d/1QqKyyYR6Q21VydFLVH3TRQUabQu_ym0Zz7PgGX0-kHA/edit?usp=sharing"",""แผน!AS77"")"),10)</f>
        <v>10</v>
      </c>
      <c r="J225" s="214">
        <v>10</v>
      </c>
      <c r="K225" s="162">
        <f ca="1">IF(I225&gt;0,J225*100/I225,0)</f>
        <v>100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0</v>
      </c>
      <c r="J226" s="344">
        <f>J237+J248</f>
        <v>0</v>
      </c>
      <c r="K226" s="345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0</v>
      </c>
      <c r="M227" s="355"/>
      <c r="N227" s="355">
        <f>N238+N249</f>
        <v>0</v>
      </c>
      <c r="O227" s="855"/>
      <c r="P227" s="85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6"/>
      <c r="J229" s="616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6"/>
      <c r="J230" s="616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6"/>
      <c r="J231" s="616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6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6">
        <f ca="1">I244+I255</f>
        <v>0</v>
      </c>
      <c r="J233" s="616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6"/>
      <c r="J234" s="616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6">
        <f>I246+I257</f>
        <v>0</v>
      </c>
      <c r="J235" s="616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6">
        <f>I247+I258</f>
        <v>0</v>
      </c>
      <c r="J236" s="616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270" t="s">
        <v>332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46" t="s">
        <v>17</v>
      </c>
      <c r="E238" s="147"/>
      <c r="F238" s="147"/>
      <c r="G238" s="150"/>
      <c r="H238" s="274" t="s">
        <v>12</v>
      </c>
      <c r="I238" s="419"/>
      <c r="J238" s="419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IFERROR(__xludf.DUMMYFUNCTION("IMPORTRANGE(""https://docs.google.com/spreadsheets/d/1QqKyyYR6Q21VydFLVH3TRQUabQu_ym0Zz7PgGX0-kHA/edit?usp=sharing"",""แผน!AV77"")"),0)</f>
        <v>0</v>
      </c>
      <c r="M239" s="321"/>
      <c r="N239" s="853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IFERROR(__xludf.DUMMYFUNCTION("IMPORTRANGE(""https://docs.google.com/spreadsheets/d/1QqKyyYR6Q21VydFLVH3TRQUabQu_ym0Zz7PgGX0-kHA/edit?usp=sharing"",""แผน!AW77"")"),0)</f>
        <v>0</v>
      </c>
      <c r="M240" s="321"/>
      <c r="N240" s="853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IFERROR(__xludf.DUMMYFUNCTION("IMPORTRANGE(""https://docs.google.com/spreadsheets/d/1QqKyyYR6Q21VydFLVH3TRQUabQu_ym0Zz7PgGX0-kHA/edit?usp=sharing"",""แผน!AX77"")"),0)</f>
        <v>0</v>
      </c>
      <c r="M241" s="321"/>
      <c r="N241" s="853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IFERROR(__xludf.DUMMYFUNCTION("IMPORTRANGE(""https://docs.google.com/spreadsheets/d/1QqKyyYR6Q21VydFLVH3TRQUabQu_ym0Zz7PgGX0-kHA/edit?usp=sharing"",""แผน!AY77"")"),0)</f>
        <v>0</v>
      </c>
      <c r="M242" s="321"/>
      <c r="N242" s="853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1" t="s">
        <v>16</v>
      </c>
      <c r="D243" s="847" t="s">
        <v>38</v>
      </c>
      <c r="E243" s="172"/>
      <c r="F243" s="172"/>
      <c r="G243" s="173"/>
      <c r="H243" s="761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47" t="s">
        <v>117</v>
      </c>
      <c r="E244" s="177"/>
      <c r="F244" s="177"/>
      <c r="G244" s="178"/>
      <c r="H244" s="763" t="s">
        <v>35</v>
      </c>
      <c r="I244" s="269">
        <f ca="1">IFERROR(__xludf.DUMMYFUNCTION("IMPORTRANGE(""https://docs.google.com/spreadsheets/d/1QqKyyYR6Q21VydFLVH3TRQUabQu_ym0Zz7PgGX0-kHA/edit?usp=sharing"",""แผน!BE77"")"),0)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852" t="s">
        <v>43</v>
      </c>
      <c r="E245" s="177"/>
      <c r="F245" s="177"/>
      <c r="G245" s="178"/>
      <c r="H245" s="763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175" t="s">
        <v>118</v>
      </c>
      <c r="F246" s="177"/>
      <c r="G246" s="178"/>
      <c r="H246" s="763" t="s">
        <v>35</v>
      </c>
      <c r="I246" s="269"/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763" t="s">
        <v>66</v>
      </c>
      <c r="I247" s="269"/>
      <c r="J247" s="214">
        <v>0</v>
      </c>
      <c r="K247" s="497">
        <f>IF(I247&gt;0,J247*100/I247,0)</f>
        <v>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54" t="s">
        <v>17</v>
      </c>
      <c r="E249" s="147"/>
      <c r="F249" s="147"/>
      <c r="G249" s="150"/>
      <c r="H249" s="274" t="s">
        <v>12</v>
      </c>
      <c r="I249" s="419"/>
      <c r="J249" s="419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IFERROR(__xludf.DUMMYFUNCTION("IMPORTRANGE(""https://docs.google.com/spreadsheets/d/1QqKyyYR6Q21VydFLVH3TRQUabQu_ym0Zz7PgGX0-kHA/edit?usp=sharing"",""แผน!AZ77"")"),0)</f>
        <v>0</v>
      </c>
      <c r="M250" s="321"/>
      <c r="N250" s="853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IFERROR(__xludf.DUMMYFUNCTION("IMPORTRANGE(""https://docs.google.com/spreadsheets/d/1QqKyyYR6Q21VydFLVH3TRQUabQu_ym0Zz7PgGX0-kHA/edit?usp=sharing"",""แผน!BA77"")"),0)</f>
        <v>0</v>
      </c>
      <c r="M251" s="321"/>
      <c r="N251" s="853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IFERROR(__xludf.DUMMYFUNCTION("IMPORTRANGE(""https://docs.google.com/spreadsheets/d/1QqKyyYR6Q21VydFLVH3TRQUabQu_ym0Zz7PgGX0-kHA/edit?usp=sharing"",""แผน!BB77"")"),0)</f>
        <v>0</v>
      </c>
      <c r="M252" s="321"/>
      <c r="N252" s="853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IFERROR(__xludf.DUMMYFUNCTION("IMPORTRANGE(""https://docs.google.com/spreadsheets/d/1QqKyyYR6Q21VydFLVH3TRQUabQu_ym0Zz7PgGX0-kHA/edit?usp=sharing"",""แผน!BC77"")"),0)</f>
        <v>0</v>
      </c>
      <c r="M253" s="321"/>
      <c r="N253" s="853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1" t="s">
        <v>16</v>
      </c>
      <c r="D254" s="847" t="s">
        <v>38</v>
      </c>
      <c r="E254" s="172"/>
      <c r="F254" s="172"/>
      <c r="G254" s="173"/>
      <c r="H254" s="761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7" t="s">
        <v>117</v>
      </c>
      <c r="E255" s="177"/>
      <c r="F255" s="177"/>
      <c r="G255" s="178"/>
      <c r="H255" s="763" t="s">
        <v>35</v>
      </c>
      <c r="I255" s="269">
        <f ca="1">IFERROR(__xludf.DUMMYFUNCTION("IMPORTRANGE(""https://docs.google.com/spreadsheets/d/1QqKyyYR6Q21VydFLVH3TRQUabQu_ym0Zz7PgGX0-kHA/edit?usp=sharing"",""แผน!BF77"")"),0)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52" t="s">
        <v>43</v>
      </c>
      <c r="E256" s="177"/>
      <c r="F256" s="177"/>
      <c r="G256" s="178"/>
      <c r="H256" s="763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63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63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46" t="s">
        <v>17</v>
      </c>
      <c r="E261" s="147"/>
      <c r="F261" s="147"/>
      <c r="G261" s="150"/>
      <c r="H261" s="151" t="s">
        <v>12</v>
      </c>
      <c r="I261" s="420"/>
      <c r="J261" s="420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6"/>
      <c r="J262" s="616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6"/>
      <c r="J263" s="616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26900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IFERROR(__xludf.DUMMYFUNCTION("IMPORTRANGE(""https://docs.google.com/spreadsheets/d/1MeEWN-I1oV_STSDYn1IFDPWt_1FKiwhDph83XaGc0o0/edit?usp=sharing"",""งบพรบ!CY77"")"),26900)</f>
        <v>26900</v>
      </c>
      <c r="M266" s="92">
        <f ca="1">IFERROR(__xludf.DUMMYFUNCTION("IMPORTRANGE(""https://docs.google.com/spreadsheets/d/1MeEWN-I1oV_STSDYn1IFDPWt_1FKiwhDph83XaGc0o0/edit?usp=sharing"",""งบพรบ!DD77"")"),26900)</f>
        <v>26900</v>
      </c>
      <c r="N266" s="92">
        <f ca="1">IFERROR(__xludf.DUMMYFUNCTION("IMPORTRANGE(""https://docs.google.com/spreadsheets/d/1MeEWN-I1oV_STSDYn1IFDPWt_1FKiwhDph83XaGc0o0/edit?usp=sharing"",""งบพรบ!DF77"")"),26900)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IFERROR(__xludf.DUMMYFUNCTION("IMPORTRANGE(""https://docs.google.com/spreadsheets/d/1MeEWN-I1oV_STSDYn1IFDPWt_1FKiwhDph83XaGc0o0/edit?usp=sharing"",""งบพรบ!DB77"")"),0)</f>
        <v>0</v>
      </c>
      <c r="M269" s="92">
        <f ca="1">IFERROR(__xludf.DUMMYFUNCTION("IMPORTRANGE(""https://docs.google.com/spreadsheets/d/1MeEWN-I1oV_STSDYn1IFDPWt_1FKiwhDph83XaGc0o0/edit?usp=sharing"",""งบพรบ!DE77"")"),0)</f>
        <v>0</v>
      </c>
      <c r="N269" s="92">
        <f ca="1">IFERROR(__xludf.DUMMYFUNCTION("IMPORTRANGE(""https://docs.google.com/spreadsheets/d/1MeEWN-I1oV_STSDYn1IFDPWt_1FKiwhDph83XaGc0o0/edit?usp=sharing"",""งบพรบ!DG77"")"),0)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47" t="s">
        <v>38</v>
      </c>
      <c r="E270" s="172"/>
      <c r="F270" s="172"/>
      <c r="G270" s="173"/>
      <c r="H270" s="761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IFERROR(__xludf.DUMMYFUNCTION("IMPORTRANGE(""https://docs.google.com/spreadsheets/d/1QqKyyYR6Q21VydFLVH3TRQUabQu_ym0Zz7PgGX0-kHA/edit?usp=sharing"",""แผน!EA77"")"),22)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5">
        <v>0</v>
      </c>
      <c r="J272" s="505">
        <v>0</v>
      </c>
      <c r="K272" s="384">
        <v>0</v>
      </c>
      <c r="L272" s="384"/>
      <c r="M272" s="384"/>
      <c r="N272" s="384"/>
      <c r="O272" s="384"/>
      <c r="P272" s="384"/>
    </row>
    <row r="273" spans="1:26" ht="19.5" hidden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9">
        <f ca="1">I287</f>
        <v>0</v>
      </c>
      <c r="J276" s="409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46" t="s">
        <v>17</v>
      </c>
      <c r="E277" s="147"/>
      <c r="F277" s="147"/>
      <c r="G277" s="150"/>
      <c r="H277" s="151" t="s">
        <v>12</v>
      </c>
      <c r="I277" s="420"/>
      <c r="J277" s="420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6"/>
      <c r="J278" s="616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6"/>
      <c r="J279" s="616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IFERROR(__xludf.DUMMYFUNCTION("IMPORTRANGE(""https://docs.google.com/spreadsheets/d/1MeEWN-I1oV_STSDYn1IFDPWt_1FKiwhDph83XaGc0o0/edit?usp=sharing"",""งบพรบ!DI77"")"),0)</f>
        <v>0</v>
      </c>
      <c r="M282" s="92">
        <f ca="1">IFERROR(__xludf.DUMMYFUNCTION("IMPORTRANGE(""https://docs.google.com/spreadsheets/d/1MeEWN-I1oV_STSDYn1IFDPWt_1FKiwhDph83XaGc0o0/edit?usp=sharing"",""งบพรบ!DN77"")"),0)</f>
        <v>0</v>
      </c>
      <c r="N282" s="92">
        <f ca="1">IFERROR(__xludf.DUMMYFUNCTION("IMPORTRANGE(""https://docs.google.com/spreadsheets/d/1MeEWN-I1oV_STSDYn1IFDPWt_1FKiwhDph83XaGc0o0/edit?usp=sharing"",""งบพรบ!DP77"")"),0)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IFERROR(__xludf.DUMMYFUNCTION("IMPORTRANGE(""https://docs.google.com/spreadsheets/d/1MeEWN-I1oV_STSDYn1IFDPWt_1FKiwhDph83XaGc0o0/edit?usp=sharing"",""งบพรบ!DL77"")"),0)</f>
        <v>0</v>
      </c>
      <c r="M285" s="92">
        <f ca="1">IFERROR(__xludf.DUMMYFUNCTION("IMPORTRANGE(""https://docs.google.com/spreadsheets/d/1MeEWN-I1oV_STSDYn1IFDPWt_1FKiwhDph83XaGc0o0/edit?usp=sharing"",""งบพรบ!DO77"")"),0)</f>
        <v>0</v>
      </c>
      <c r="N285" s="92">
        <f ca="1">IFERROR(__xludf.DUMMYFUNCTION("IMPORTRANGE(""https://docs.google.com/spreadsheets/d/1MeEWN-I1oV_STSDYn1IFDPWt_1FKiwhDph83XaGc0o0/edit?usp=sharing"",""งบพรบ!DQ77"")"),0)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47" t="s">
        <v>38</v>
      </c>
      <c r="E286" s="172"/>
      <c r="F286" s="172"/>
      <c r="G286" s="173"/>
      <c r="H286" s="761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5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IFERROR(__xludf.DUMMYFUNCTION("IMPORTRANGE(""https://docs.google.com/spreadsheets/d/1QqKyyYR6Q21VydFLVH3TRQUabQu_ym0Zz7PgGX0-kHA/edit?usp=sharing"",""แผน!EC77"")"),0)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5" t="s">
        <v>130</v>
      </c>
      <c r="E288" s="170"/>
      <c r="F288" s="177"/>
      <c r="G288" s="178"/>
      <c r="H288" s="179" t="s">
        <v>35</v>
      </c>
      <c r="I288" s="680">
        <f ca="1">IFERROR(__xludf.DUMMYFUNCTION("IMPORTRANGE(""https://docs.google.com/spreadsheets/d/1QqKyyYR6Q21VydFLVH3TRQUabQu_ym0Zz7PgGX0-kHA/edit?usp=sharing"",""แผน!EB77"")"),0)</f>
        <v>0</v>
      </c>
      <c r="J288" s="680">
        <f ca="1">IF(AND(J291&gt;=I288,J294&gt;=I288),J294,0)</f>
        <v>0</v>
      </c>
      <c r="K288" s="411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2"/>
      <c r="E289" s="413" t="s">
        <v>131</v>
      </c>
      <c r="F289" s="177"/>
      <c r="G289" s="178"/>
      <c r="H289" s="763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2"/>
      <c r="E290" s="625" t="s">
        <v>132</v>
      </c>
      <c r="F290" s="177"/>
      <c r="G290" s="178"/>
      <c r="H290" s="763" t="s">
        <v>35</v>
      </c>
      <c r="I290" s="183">
        <f ca="1">IFERROR(__xludf.DUMMYFUNCTION("IMPORTRANGE(""https://docs.google.com/spreadsheets/d/1QqKyyYR6Q21VydFLVH3TRQUabQu_ym0Zz7PgGX0-kHA/edit?usp=sharing"",""แผน!EB77"")"),0)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5" t="s">
        <v>336</v>
      </c>
      <c r="F291" s="177"/>
      <c r="G291" s="178"/>
      <c r="H291" s="763" t="s">
        <v>35</v>
      </c>
      <c r="I291" s="183">
        <f ca="1">IFERROR(__xludf.DUMMYFUNCTION("IMPORTRANGE(""https://docs.google.com/spreadsheets/d/1QqKyyYR6Q21VydFLVH3TRQUabQu_ym0Zz7PgGX0-kHA/edit?usp=sharing"",""แผน!EB77"")"),0)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4"/>
      <c r="B292" s="415"/>
      <c r="C292" s="415"/>
      <c r="D292" s="416"/>
      <c r="E292" s="417" t="s">
        <v>134</v>
      </c>
      <c r="F292" s="286"/>
      <c r="G292" s="287"/>
      <c r="H292" s="418"/>
      <c r="I292" s="419"/>
      <c r="J292" s="420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2"/>
      <c r="E293" s="625" t="s">
        <v>132</v>
      </c>
      <c r="F293" s="177"/>
      <c r="G293" s="178"/>
      <c r="H293" s="763" t="s">
        <v>35</v>
      </c>
      <c r="I293" s="183">
        <f ca="1">IFERROR(__xludf.DUMMYFUNCTION("IMPORTRANGE(""https://docs.google.com/spreadsheets/d/1QqKyyYR6Q21VydFLVH3TRQUabQu_ym0Zz7PgGX0-kHA/edit?usp=sharing"",""แผน!EB77"")"),0)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33" t="s">
        <v>336</v>
      </c>
      <c r="F294" s="380"/>
      <c r="G294" s="381"/>
      <c r="H294" s="422" t="s">
        <v>35</v>
      </c>
      <c r="I294" s="423">
        <f ca="1">IFERROR(__xludf.DUMMYFUNCTION("IMPORTRANGE(""https://docs.google.com/spreadsheets/d/1QqKyyYR6Q21VydFLVH3TRQUabQu_ym0Zz7PgGX0-kHA/edit?usp=sharing"",""แผน!EB77"")"),0)</f>
        <v>0</v>
      </c>
      <c r="J294" s="424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0</v>
      </c>
      <c r="J297" s="444">
        <f>J309</f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6"/>
      <c r="B298" s="147"/>
      <c r="C298" s="148" t="s">
        <v>16</v>
      </c>
      <c r="D298" s="846" t="s">
        <v>17</v>
      </c>
      <c r="E298" s="147"/>
      <c r="F298" s="147"/>
      <c r="G298" s="150"/>
      <c r="H298" s="151" t="s">
        <v>12</v>
      </c>
      <c r="I298" s="420"/>
      <c r="J298" s="420"/>
      <c r="K298" s="153"/>
      <c r="L298" s="154">
        <f ca="1">L299+L300</f>
        <v>0</v>
      </c>
      <c r="M298" s="154">
        <f ca="1">M299+M300</f>
        <v>0</v>
      </c>
      <c r="N298" s="154">
        <f ca="1">N299+N300</f>
        <v>0</v>
      </c>
      <c r="O298" s="154">
        <f t="shared" ref="O298:O306" ca="1" si="50">IF(L298&gt;0,N298*100/L298,0)</f>
        <v>0</v>
      </c>
      <c r="P298" s="154">
        <f t="shared" ref="P298:P306" ca="1" si="51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6"/>
      <c r="J299" s="616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6"/>
      <c r="J300" s="616"/>
      <c r="K300" s="92"/>
      <c r="L300" s="92">
        <f t="shared" ca="1" si="52"/>
        <v>0</v>
      </c>
      <c r="M300" s="92">
        <f t="shared" ca="1" si="52"/>
        <v>0</v>
      </c>
      <c r="N300" s="92">
        <f t="shared" ca="1" si="52"/>
        <v>0</v>
      </c>
      <c r="O300" s="92">
        <f t="shared" ca="1" si="50"/>
        <v>0</v>
      </c>
      <c r="P300" s="92">
        <f t="shared" ca="1" si="51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0</v>
      </c>
      <c r="M301" s="497">
        <f ca="1">M302+M303</f>
        <v>0</v>
      </c>
      <c r="N301" s="497">
        <f ca="1">N302+N303</f>
        <v>0</v>
      </c>
      <c r="O301" s="497">
        <f t="shared" ca="1" si="50"/>
        <v>0</v>
      </c>
      <c r="P301" s="497">
        <f t="shared" ca="1" si="51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IFERROR(__xludf.DUMMYFUNCTION("IMPORTRANGE(""https://docs.google.com/spreadsheets/d/1MeEWN-I1oV_STSDYn1IFDPWt_1FKiwhDph83XaGc0o0/edit?usp=sharing"",""งบพรบ!DS77"")"),0)</f>
        <v>0</v>
      </c>
      <c r="M303" s="92">
        <f ca="1">IFERROR(__xludf.DUMMYFUNCTION("IMPORTRANGE(""https://docs.google.com/spreadsheets/d/1MeEWN-I1oV_STSDYn1IFDPWt_1FKiwhDph83XaGc0o0/edit?usp=sharing"",""งบพรบ!DX77"")"),0)</f>
        <v>0</v>
      </c>
      <c r="N303" s="92">
        <f ca="1">IFERROR(__xludf.DUMMYFUNCTION("IMPORTRANGE(""https://docs.google.com/spreadsheets/d/1MeEWN-I1oV_STSDYn1IFDPWt_1FKiwhDph83XaGc0o0/edit?usp=sharing"",""งบพรบ!DZ77"")"),0)</f>
        <v>0</v>
      </c>
      <c r="O303" s="92">
        <f t="shared" ca="1" si="50"/>
        <v>0</v>
      </c>
      <c r="P303" s="92">
        <f t="shared" ca="1" si="51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IFERROR(__xludf.DUMMYFUNCTION("IMPORTRANGE(""https://docs.google.com/spreadsheets/d/1MeEWN-I1oV_STSDYn1IFDPWt_1FKiwhDph83XaGc0o0/edit?usp=sharing"",""งบพรบ!DV77"")"),0)</f>
        <v>0</v>
      </c>
      <c r="M306" s="92">
        <f ca="1">IFERROR(__xludf.DUMMYFUNCTION("IMPORTRANGE(""https://docs.google.com/spreadsheets/d/1MeEWN-I1oV_STSDYn1IFDPWt_1FKiwhDph83XaGc0o0/edit?usp=sharing"",""งบพรบ!DY77"")"),0)</f>
        <v>0</v>
      </c>
      <c r="N306" s="92">
        <f ca="1">IFERROR(__xludf.DUMMYFUNCTION("IMPORTRANGE(""https://docs.google.com/spreadsheets/d/1MeEWN-I1oV_STSDYn1IFDPWt_1FKiwhDph83XaGc0o0/edit?usp=sharing"",""งบพรบ!EA77"")"),0)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47" t="s">
        <v>38</v>
      </c>
      <c r="E307" s="172"/>
      <c r="F307" s="172"/>
      <c r="G307" s="173"/>
      <c r="H307" s="761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69"/>
      <c r="B308" s="170"/>
      <c r="C308" s="170"/>
      <c r="D308" s="447" t="s">
        <v>140</v>
      </c>
      <c r="E308" s="447"/>
      <c r="F308" s="447"/>
      <c r="G308" s="178"/>
      <c r="H308" s="763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69"/>
      <c r="B309" s="170"/>
      <c r="C309" s="170"/>
      <c r="D309" s="447" t="s">
        <v>141</v>
      </c>
      <c r="E309" s="447"/>
      <c r="F309" s="447"/>
      <c r="G309" s="178"/>
      <c r="H309" s="763" t="s">
        <v>35</v>
      </c>
      <c r="I309" s="269">
        <f ca="1">IFERROR(__xludf.DUMMYFUNCTION("IMPORTRANGE(""https://docs.google.com/spreadsheets/d/1QqKyyYR6Q21VydFLVH3TRQUabQu_ym0Zz7PgGX0-kHA/edit?usp=sharing"",""แผน!ED77"")"),0)</f>
        <v>0</v>
      </c>
      <c r="J309" s="214">
        <v>0</v>
      </c>
      <c r="K309" s="497">
        <f ca="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69"/>
      <c r="B310" s="170"/>
      <c r="C310" s="170"/>
      <c r="D310" s="447" t="s">
        <v>142</v>
      </c>
      <c r="E310" s="447"/>
      <c r="F310" s="447"/>
      <c r="G310" s="178"/>
      <c r="H310" s="763" t="s">
        <v>35</v>
      </c>
      <c r="I310" s="269">
        <f ca="1">IFERROR(__xludf.DUMMYFUNCTION("IMPORTRANGE(""https://docs.google.com/spreadsheets/d/1QqKyyYR6Q21VydFLVH3TRQUabQu_ym0Zz7PgGX0-kHA/edit?usp=sharing"",""แผน!ED77"")"),0)</f>
        <v>0</v>
      </c>
      <c r="J310" s="214">
        <v>0</v>
      </c>
      <c r="K310" s="497">
        <f ca="1">IF(I310&gt;0,J310*100/I310,0)</f>
        <v>0</v>
      </c>
      <c r="L310" s="497"/>
      <c r="M310" s="497"/>
      <c r="N310" s="497"/>
      <c r="O310" s="497"/>
      <c r="P310" s="497"/>
    </row>
    <row r="311" spans="1:26" ht="18.75" hidden="1">
      <c r="A311" s="169"/>
      <c r="B311" s="170"/>
      <c r="C311" s="170"/>
      <c r="D311" s="447" t="s">
        <v>59</v>
      </c>
      <c r="E311" s="447"/>
      <c r="F311" s="447"/>
      <c r="G311" s="178"/>
      <c r="H311" s="763" t="s">
        <v>35</v>
      </c>
      <c r="I311" s="269">
        <f ca="1">IFERROR(__xludf.DUMMYFUNCTION("IMPORTRANGE(""https://docs.google.com/spreadsheets/d/1QqKyyYR6Q21VydFLVH3TRQUabQu_ym0Zz7PgGX0-kHA/edit?usp=sharing"",""แผน!ED77"")"),0)</f>
        <v>0</v>
      </c>
      <c r="J311" s="214">
        <v>0</v>
      </c>
      <c r="K311" s="497">
        <f ca="1">IF(I311&gt;0,J311*100/I311,0)</f>
        <v>0</v>
      </c>
      <c r="L311" s="497"/>
      <c r="M311" s="497"/>
      <c r="N311" s="497"/>
      <c r="O311" s="497"/>
      <c r="P311" s="497"/>
    </row>
    <row r="312" spans="1:26" ht="18.75" hidden="1">
      <c r="A312" s="169"/>
      <c r="B312" s="170"/>
      <c r="C312" s="170"/>
      <c r="D312" s="447" t="s">
        <v>143</v>
      </c>
      <c r="E312" s="447"/>
      <c r="F312" s="447"/>
      <c r="G312" s="178"/>
      <c r="H312" s="763" t="s">
        <v>35</v>
      </c>
      <c r="I312" s="269">
        <f ca="1">IFERROR(__xludf.DUMMYFUNCTION("IMPORTRANGE(""https://docs.google.com/spreadsheets/d/1QqKyyYR6Q21VydFLVH3TRQUabQu_ym0Zz7PgGX0-kHA/edit?usp=sharing"",""แผน!EE77"")"),0)</f>
        <v>0</v>
      </c>
      <c r="J312" s="214">
        <v>0</v>
      </c>
      <c r="K312" s="497">
        <f ca="1">IF(I312&gt;0,J312*100/I312,0)</f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0</v>
      </c>
      <c r="J314" s="444">
        <f>J325</f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6"/>
      <c r="B315" s="147"/>
      <c r="C315" s="148" t="s">
        <v>16</v>
      </c>
      <c r="D315" s="846" t="s">
        <v>17</v>
      </c>
      <c r="E315" s="147"/>
      <c r="F315" s="147"/>
      <c r="G315" s="150"/>
      <c r="H315" s="151" t="s">
        <v>12</v>
      </c>
      <c r="I315" s="420"/>
      <c r="J315" s="420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6"/>
      <c r="J316" s="616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6"/>
      <c r="J317" s="616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IFERROR(__xludf.DUMMYFUNCTION("IMPORTRANGE(""https://docs.google.com/spreadsheets/d/1MeEWN-I1oV_STSDYn1IFDPWt_1FKiwhDph83XaGc0o0/edit?usp=sharing"",""งบพรบ!EC77"")"),0)</f>
        <v>0</v>
      </c>
      <c r="M320" s="92">
        <f ca="1">IFERROR(__xludf.DUMMYFUNCTION("IMPORTRANGE(""https://docs.google.com/spreadsheets/d/1MeEWN-I1oV_STSDYn1IFDPWt_1FKiwhDph83XaGc0o0/edit?usp=sharing"",""งบพรบ!EH77"")"),0)</f>
        <v>0</v>
      </c>
      <c r="N320" s="92">
        <f ca="1">IFERROR(__xludf.DUMMYFUNCTION("IMPORTRANGE(""https://docs.google.com/spreadsheets/d/1MeEWN-I1oV_STSDYn1IFDPWt_1FKiwhDph83XaGc0o0/edit?usp=sharing"",""งบพรบ!EJ77"")"),0)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IFERROR(__xludf.DUMMYFUNCTION("IMPORTRANGE(""https://docs.google.com/spreadsheets/d/1MeEWN-I1oV_STSDYn1IFDPWt_1FKiwhDph83XaGc0o0/edit?usp=sharing"",""งบพรบ!EF77"")"),0)</f>
        <v>0</v>
      </c>
      <c r="M323" s="92">
        <f ca="1">IFERROR(__xludf.DUMMYFUNCTION("IMPORTRANGE(""https://docs.google.com/spreadsheets/d/1MeEWN-I1oV_STSDYn1IFDPWt_1FKiwhDph83XaGc0o0/edit?usp=sharing"",""งบพรบ!EI77"")"),0)</f>
        <v>0</v>
      </c>
      <c r="N323" s="92">
        <f ca="1">IFERROR(__xludf.DUMMYFUNCTION("IMPORTRANGE(""https://docs.google.com/spreadsheets/d/1MeEWN-I1oV_STSDYn1IFDPWt_1FKiwhDph83XaGc0o0/edit?usp=sharing"",""งบพรบ!EK77"")"),0)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47" t="s">
        <v>38</v>
      </c>
      <c r="E324" s="172"/>
      <c r="F324" s="172"/>
      <c r="G324" s="173"/>
      <c r="H324" s="761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7"/>
      <c r="G325" s="178"/>
      <c r="H325" s="622" t="s">
        <v>146</v>
      </c>
      <c r="I325" s="269">
        <f ca="1">IFERROR(__xludf.DUMMYFUNCTION("IMPORTRANGE(""https://docs.google.com/spreadsheets/d/1QqKyyYR6Q21VydFLVH3TRQUabQu_ym0Zz7PgGX0-kHA/edit?usp=sharing"",""แผน!EF77"")"),0)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IFERROR(__xludf.DUMMYFUNCTION("IMPORTRANGE(""https://docs.google.com/spreadsheets/d/1QqKyyYR6Q21VydFLVH3TRQUabQu_ym0Zz7PgGX0-kHA/edit?usp=sharing"",""แผน!EG77"")"),1700)</f>
        <v>1700</v>
      </c>
      <c r="J327" s="444">
        <f ca="1">J338+J341+J342+J343</f>
        <v>5431</v>
      </c>
      <c r="K327" s="445">
        <f ca="1">IF(I327&gt;0,J327*100/I327,0)</f>
        <v>319.47058823529414</v>
      </c>
      <c r="L327" s="446"/>
      <c r="M327" s="446"/>
      <c r="N327" s="446"/>
      <c r="O327" s="446"/>
      <c r="P327" s="446"/>
    </row>
    <row r="328" spans="1:26" ht="19.5">
      <c r="A328" s="146"/>
      <c r="B328" s="147"/>
      <c r="C328" s="148" t="s">
        <v>16</v>
      </c>
      <c r="D328" s="846" t="s">
        <v>17</v>
      </c>
      <c r="E328" s="147"/>
      <c r="F328" s="147"/>
      <c r="G328" s="150"/>
      <c r="H328" s="151" t="s">
        <v>12</v>
      </c>
      <c r="I328" s="420"/>
      <c r="J328" s="420"/>
      <c r="K328" s="153"/>
      <c r="L328" s="154">
        <f ca="1">L329+L330</f>
        <v>166000</v>
      </c>
      <c r="M328" s="154">
        <f ca="1">M329+M330</f>
        <v>168500</v>
      </c>
      <c r="N328" s="154">
        <f ca="1">N329+N330</f>
        <v>168500</v>
      </c>
      <c r="O328" s="154">
        <f t="shared" ref="O328:O336" ca="1" si="56">IF(L328&gt;0,N328*100/L328,0)</f>
        <v>101.50602409638554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6"/>
      <c r="J329" s="616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6"/>
      <c r="J330" s="616"/>
      <c r="K330" s="92"/>
      <c r="L330" s="92">
        <f t="shared" ca="1" si="58"/>
        <v>166000</v>
      </c>
      <c r="M330" s="92">
        <f t="shared" ca="1" si="58"/>
        <v>168500</v>
      </c>
      <c r="N330" s="92">
        <f t="shared" ca="1" si="58"/>
        <v>168500</v>
      </c>
      <c r="O330" s="92">
        <f t="shared" ca="1" si="56"/>
        <v>101.50602409638554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166000</v>
      </c>
      <c r="M331" s="497">
        <f ca="1">M332+M333</f>
        <v>168500</v>
      </c>
      <c r="N331" s="497">
        <f ca="1">N332+N333</f>
        <v>168500</v>
      </c>
      <c r="O331" s="497">
        <f t="shared" ca="1" si="56"/>
        <v>101.50602409638554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IFERROR(__xludf.DUMMYFUNCTION("IMPORTRANGE(""https://docs.google.com/spreadsheets/d/1MeEWN-I1oV_STSDYn1IFDPWt_1FKiwhDph83XaGc0o0/edit?usp=sharing"",""งบพรบ!EM77"")"),166000)</f>
        <v>166000</v>
      </c>
      <c r="M333" s="92">
        <f ca="1">IFERROR(__xludf.DUMMYFUNCTION("IMPORTRANGE(""https://docs.google.com/spreadsheets/d/1MeEWN-I1oV_STSDYn1IFDPWt_1FKiwhDph83XaGc0o0/edit?usp=sharing"",""งบพรบ!ER77"")"),168500)</f>
        <v>168500</v>
      </c>
      <c r="N333" s="92">
        <f ca="1">IFERROR(__xludf.DUMMYFUNCTION("IMPORTRANGE(""https://docs.google.com/spreadsheets/d/1MeEWN-I1oV_STSDYn1IFDPWt_1FKiwhDph83XaGc0o0/edit?usp=sharing"",""งบพรบ!ET77"")"),168500)</f>
        <v>168500</v>
      </c>
      <c r="O333" s="92">
        <f t="shared" ca="1" si="56"/>
        <v>101.50602409638554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IFERROR(__xludf.DUMMYFUNCTION("IMPORTRANGE(""https://docs.google.com/spreadsheets/d/1MeEWN-I1oV_STSDYn1IFDPWt_1FKiwhDph83XaGc0o0/edit?usp=sharing"",""งบพรบ!EP77"")"),0)</f>
        <v>0</v>
      </c>
      <c r="M336" s="92">
        <f ca="1">IFERROR(__xludf.DUMMYFUNCTION("IMPORTRANGE(""https://docs.google.com/spreadsheets/d/1MeEWN-I1oV_STSDYn1IFDPWt_1FKiwhDph83XaGc0o0/edit?usp=sharing"",""งบพรบ!ES77"")"),0)</f>
        <v>0</v>
      </c>
      <c r="N336" s="92">
        <f ca="1">IFERROR(__xludf.DUMMYFUNCTION("IMPORTRANGE(""https://docs.google.com/spreadsheets/d/1MeEWN-I1oV_STSDYn1IFDPWt_1FKiwhDph83XaGc0o0/edit?usp=sharing"",""งบพรบ!EU77"")"),0)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4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61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3"/>
      <c r="B338" s="32"/>
      <c r="C338" s="280"/>
      <c r="D338" s="447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IFERROR(__xludf.DUMMYFUNCTION("IMPORTRANGE(""https://docs.google.com/spreadsheets/d/1QqKyyYR6Q21VydFLVH3TRQUabQu_ym0Zz7PgGX0-kHA/edit?usp=sharing"",""แผน!EG77"")"),1700)</f>
        <v>1700</v>
      </c>
      <c r="J338" s="269">
        <f ca="1">IFERROR(__xludf.DUMMYFUNCTION("IMPORTRANGE(""https://docs.google.com/spreadsheets/d/1kVcqe37tkHyjCSG3S0O1AXqVkqjo8mSIZil3BcpIysc/edit?usp=sharing"",""ศูนย์!D77"")"),5276)</f>
        <v>5276</v>
      </c>
      <c r="K338" s="497">
        <f ca="1">IF(I338&gt;0,J338*100/I338,0)</f>
        <v>310.35294117647061</v>
      </c>
      <c r="L338" s="497"/>
      <c r="M338" s="497"/>
      <c r="N338" s="497"/>
      <c r="O338" s="497"/>
      <c r="P338" s="497"/>
    </row>
    <row r="339" spans="1:26" ht="18.75">
      <c r="A339" s="283"/>
      <c r="B339" s="32"/>
      <c r="C339" s="280"/>
      <c r="D339" s="447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3"/>
      <c r="B340" s="32"/>
      <c r="C340" s="280"/>
      <c r="D340" s="177"/>
      <c r="E340" s="447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IFERROR(__xludf.DUMMYFUNCTION("IMPORTRANGE(""https://docs.google.com/spreadsheets/d/1QqKyyYR6Q21VydFLVH3TRQUabQu_ym0Zz7PgGX0-kHA/edit?usp=sharing"",""แผน!EH77"")"),4)</f>
        <v>4</v>
      </c>
      <c r="J340" s="269">
        <f ca="1">IFERROR(__xludf.DUMMYFUNCTION("IMPORTRANGE(""https://docs.google.com/spreadsheets/d/1kVcqe37tkHyjCSG3S0O1AXqVkqjo8mSIZil3BcpIysc/edit?usp=sharing"",""ศูนย์!E77"")"),4)</f>
        <v>4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3"/>
      <c r="B341" s="32"/>
      <c r="C341" s="280"/>
      <c r="D341" s="177"/>
      <c r="E341" s="447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IFERROR(__xludf.DUMMYFUNCTION("IMPORTRANGE(""https://docs.google.com/spreadsheets/d/1kVcqe37tkHyjCSG3S0O1AXqVkqjo8mSIZil3BcpIysc/edit?usp=sharing"",""ศูนย์!F77"")"),155)</f>
        <v>155</v>
      </c>
      <c r="K341" s="497"/>
      <c r="L341" s="497"/>
      <c r="M341" s="497"/>
      <c r="N341" s="497"/>
      <c r="O341" s="497"/>
      <c r="P341" s="497"/>
    </row>
    <row r="342" spans="1:26" ht="18.75">
      <c r="A342" s="283"/>
      <c r="B342" s="32"/>
      <c r="C342" s="280"/>
      <c r="D342" s="447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IFERROR(__xludf.DUMMYFUNCTION("IMPORTRANGE(""https://docs.google.com/spreadsheets/d/1kVcqe37tkHyjCSG3S0O1AXqVkqjo8mSIZil3BcpIysc/edit?usp=sharing"",""ศูนย์!G77"")"),0)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3"/>
      <c r="B343" s="32"/>
      <c r="C343" s="280"/>
      <c r="D343" s="447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IFERROR(__xludf.DUMMYFUNCTION("IMPORTRANGE(""https://docs.google.com/spreadsheets/d/1kVcqe37tkHyjCSG3S0O1AXqVkqjo8mSIZil3BcpIysc/edit?usp=sharing"",""ศูนย์!H77"")"),0)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6"/>
      <c r="B345" s="147"/>
      <c r="C345" s="148" t="s">
        <v>16</v>
      </c>
      <c r="D345" s="846" t="s">
        <v>17</v>
      </c>
      <c r="E345" s="147"/>
      <c r="F345" s="147"/>
      <c r="G345" s="150"/>
      <c r="H345" s="151" t="s">
        <v>12</v>
      </c>
      <c r="I345" s="420"/>
      <c r="J345" s="420"/>
      <c r="K345" s="153"/>
      <c r="L345" s="154">
        <f ca="1">L346+L347</f>
        <v>997600</v>
      </c>
      <c r="M345" s="154">
        <f ca="1">M346+M347</f>
        <v>1065400</v>
      </c>
      <c r="N345" s="154">
        <f ca="1">N346+N347</f>
        <v>1065400</v>
      </c>
      <c r="O345" s="154">
        <f t="shared" ref="O345:O353" ca="1" si="59">IF(L345&gt;0,N345*100/L345,0)</f>
        <v>106.7963111467522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6"/>
      <c r="J346" s="616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6"/>
      <c r="J347" s="616"/>
      <c r="K347" s="92"/>
      <c r="L347" s="92">
        <f t="shared" ca="1" si="61"/>
        <v>997600</v>
      </c>
      <c r="M347" s="92">
        <f t="shared" ca="1" si="61"/>
        <v>1065400</v>
      </c>
      <c r="N347" s="92">
        <f t="shared" ca="1" si="61"/>
        <v>1065400</v>
      </c>
      <c r="O347" s="92">
        <f t="shared" ca="1" si="59"/>
        <v>106.7963111467522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868000</v>
      </c>
      <c r="M348" s="497">
        <f ca="1">M349+M350</f>
        <v>935800</v>
      </c>
      <c r="N348" s="497">
        <f ca="1">N349+N350</f>
        <v>935800</v>
      </c>
      <c r="O348" s="497">
        <f t="shared" ca="1" si="59"/>
        <v>107.81105990783411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IFERROR(__xludf.DUMMYFUNCTION("IMPORTRANGE(""https://docs.google.com/spreadsheets/d/1MeEWN-I1oV_STSDYn1IFDPWt_1FKiwhDph83XaGc0o0/edit?usp=sharing"",""งบพรบ!EW77"")"),868000)</f>
        <v>868000</v>
      </c>
      <c r="M350" s="92">
        <f ca="1">IFERROR(__xludf.DUMMYFUNCTION("IMPORTRANGE(""https://docs.google.com/spreadsheets/d/1MeEWN-I1oV_STSDYn1IFDPWt_1FKiwhDph83XaGc0o0/edit?usp=sharing"",""งบพรบ!FB77"")"),935800)</f>
        <v>935800</v>
      </c>
      <c r="N350" s="92">
        <f ca="1">IFERROR(__xludf.DUMMYFUNCTION("IMPORTRANGE(""https://docs.google.com/spreadsheets/d/1MeEWN-I1oV_STSDYn1IFDPWt_1FKiwhDph83XaGc0o0/edit?usp=sharing"",""งบพรบ!FD77"")"),935800)</f>
        <v>935800</v>
      </c>
      <c r="O350" s="92">
        <f t="shared" ca="1" si="59"/>
        <v>107.81105990783411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129600</v>
      </c>
      <c r="M351" s="497">
        <f ca="1">M352+M353</f>
        <v>129600</v>
      </c>
      <c r="N351" s="497">
        <f ca="1">N352+N353</f>
        <v>129600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IFERROR(__xludf.DUMMYFUNCTION("IMPORTRANGE(""https://docs.google.com/spreadsheets/d/1MeEWN-I1oV_STSDYn1IFDPWt_1FKiwhDph83XaGc0o0/edit?usp=sharing"",""งบพรบ!EZ77"")"),129600)</f>
        <v>129600</v>
      </c>
      <c r="M353" s="92">
        <f ca="1">IFERROR(__xludf.DUMMYFUNCTION("IMPORTRANGE(""https://docs.google.com/spreadsheets/d/1MeEWN-I1oV_STSDYn1IFDPWt_1FKiwhDph83XaGc0o0/edit?usp=sharing"",""งบพรบ!FC77"")"),129600)</f>
        <v>129600</v>
      </c>
      <c r="N353" s="92">
        <f ca="1">IFERROR(__xludf.DUMMYFUNCTION("IMPORTRANGE(""https://docs.google.com/spreadsheets/d/1MeEWN-I1oV_STSDYn1IFDPWt_1FKiwhDph83XaGc0o0/edit?usp=sharing"",""งบพรบ!FE77"")"),129600)</f>
        <v>129600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1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IFERROR(__xludf.DUMMYFUNCTION("IMPORTRANGE(""https://docs.google.com/spreadsheets/d/1QqKyyYR6Q21VydFLVH3TRQUabQu_ym0Zz7PgGX0-kHA/edit?usp=sharing"",""แผน!EP77"")"),332)</f>
        <v>332</v>
      </c>
      <c r="J355" s="464">
        <f ca="1">J362</f>
        <v>136</v>
      </c>
      <c r="K355" s="465">
        <f ca="1">IF(I355&gt;0,J355*100/I355,0)</f>
        <v>40.963855421686745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47" t="s">
        <v>38</v>
      </c>
      <c r="E357" s="172"/>
      <c r="F357" s="172"/>
      <c r="G357" s="173"/>
      <c r="H357" s="761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IFERROR(__xludf.DUMMYFUNCTION("IMPORTRANGE(""https://docs.google.com/spreadsheets/d/1XWAQStnk-4SwqDmLtmXYiTMKHgktTP8We1SCoS47DrQ/edit?usp=sharing"",""จัดที่ดิน!W77"")"),344)</f>
        <v>344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IFERROR(__xludf.DUMMYFUNCTION("IMPORTRANGE(""https://docs.google.com/spreadsheets/d/1QqKyyYR6Q21VydFLVH3TRQUabQu_ym0Zz7PgGX0-kHA/edit?usp=sharing"",""แผน!EO77"")"),2700)</f>
        <v>2700</v>
      </c>
      <c r="J359" s="269">
        <f ca="1">IFERROR(__xludf.DUMMYFUNCTION("IMPORTRANGE(""https://docs.google.com/spreadsheets/d/1XWAQStnk-4SwqDmLtmXYiTMKHgktTP8We1SCoS47DrQ/edit?usp=sharing"",""จัดที่ดิน!X77"")"),2792.16)</f>
        <v>2792.16</v>
      </c>
      <c r="K359" s="497">
        <f t="shared" ca="1" si="62"/>
        <v>103.41333333333333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63" t="s">
        <v>35</v>
      </c>
      <c r="I360" s="269">
        <f ca="1">IFERROR(__xludf.DUMMYFUNCTION("IMPORTRANGE(""https://docs.google.com/spreadsheets/d/1QqKyyYR6Q21VydFLVH3TRQUabQu_ym0Zz7PgGX0-kHA/edit?usp=sharing"",""แผน!EP77"")"),332)</f>
        <v>332</v>
      </c>
      <c r="J360" s="269">
        <f ca="1">IFERROR(__xludf.DUMMYFUNCTION("IMPORTRANGE(""https://docs.google.com/spreadsheets/d/1XWAQStnk-4SwqDmLtmXYiTMKHgktTP8We1SCoS47DrQ/edit?usp=sharing"",""จัดที่ดิน!Y77"")"),173)</f>
        <v>173</v>
      </c>
      <c r="K360" s="497">
        <f t="shared" ca="1" si="62"/>
        <v>52.108433734939759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63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IFERROR(__xludf.DUMMYFUNCTION("IMPORTRANGE(""https://docs.google.com/spreadsheets/d/1XWAQStnk-4SwqDmLtmXYiTMKHgktTP8We1SCoS47DrQ/edit?usp=sharing"",""จัดที่ดิน!Z77"")"),1680.62)</f>
        <v>1680.62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63" t="s">
        <v>35</v>
      </c>
      <c r="I362" s="269">
        <f ca="1">IFERROR(__xludf.DUMMYFUNCTION("IMPORTRANGE(""https://docs.google.com/spreadsheets/d/1QqKyyYR6Q21VydFLVH3TRQUabQu_ym0Zz7PgGX0-kHA/edit?usp=sharing"",""แผน!EP77"")"),332)</f>
        <v>332</v>
      </c>
      <c r="J362" s="269">
        <f ca="1">IFERROR(__xludf.DUMMYFUNCTION("IMPORTRANGE(""https://docs.google.com/spreadsheets/d/1XWAQStnk-4SwqDmLtmXYiTMKHgktTP8We1SCoS47DrQ/edit?usp=sharing"",""จัดที่ดิน!AA77"")"),136)</f>
        <v>136</v>
      </c>
      <c r="K362" s="497">
        <f t="shared" ca="1" si="62"/>
        <v>40.963855421686745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7"/>
      <c r="F363" s="177"/>
      <c r="G363" s="178"/>
      <c r="H363" s="763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IFERROR(__xludf.DUMMYFUNCTION("IMPORTRANGE(""https://docs.google.com/spreadsheets/d/1XWAQStnk-4SwqDmLtmXYiTMKHgktTP8We1SCoS47DrQ/edit?usp=sharing"",""จัดที่ดิน!AB77"")"),1289.05)</f>
        <v>1289.05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502</v>
      </c>
      <c r="J364" s="478">
        <f ca="1">J365+J374</f>
        <v>429</v>
      </c>
      <c r="K364" s="479">
        <f t="shared" ca="1" si="62"/>
        <v>85.458167330677284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IFERROR(__xludf.DUMMYFUNCTION("IMPORTRANGE(""https://docs.google.com/spreadsheets/d/1QqKyyYR6Q21VydFLVH3TRQUabQu_ym0Zz7PgGX0-kHA/edit?usp=sharing"",""แผน!EJ77"")"),182)</f>
        <v>182</v>
      </c>
      <c r="J365" s="490">
        <f ca="1">J372</f>
        <v>110</v>
      </c>
      <c r="K365" s="491">
        <f t="shared" ca="1" si="62"/>
        <v>60.439560439560438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47" t="s">
        <v>38</v>
      </c>
      <c r="E367" s="172"/>
      <c r="F367" s="172"/>
      <c r="G367" s="173"/>
      <c r="H367" s="761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IFERROR(__xludf.DUMMYFUNCTION("IMPORTRANGE(""https://docs.google.com/spreadsheets/d/1XWAQStnk-4SwqDmLtmXYiTMKHgktTP8We1SCoS47DrQ/edit?usp=sharing"",""จัดที่ดิน!E77"")"),132)</f>
        <v>132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IFERROR(__xludf.DUMMYFUNCTION("IMPORTRANGE(""https://docs.google.com/spreadsheets/d/1QqKyyYR6Q21VydFLVH3TRQUabQu_ym0Zz7PgGX0-kHA/edit?usp=sharing"",""แผน!EI77"")"),1300)</f>
        <v>1300</v>
      </c>
      <c r="J369" s="269">
        <f ca="1">IFERROR(__xludf.DUMMYFUNCTION("IMPORTRANGE(""https://docs.google.com/spreadsheets/d/1XWAQStnk-4SwqDmLtmXYiTMKHgktTP8We1SCoS47DrQ/edit?usp=sharing"",""จัดที่ดิน!F77"")"),1317.53)</f>
        <v>1317.53</v>
      </c>
      <c r="K369" s="497">
        <f t="shared" ca="1" si="63"/>
        <v>101.34846153846154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63" t="s">
        <v>35</v>
      </c>
      <c r="I370" s="269">
        <f ca="1">IFERROR(__xludf.DUMMYFUNCTION("IMPORTRANGE(""https://docs.google.com/spreadsheets/d/1QqKyyYR6Q21VydFLVH3TRQUabQu_ym0Zz7PgGX0-kHA/edit?usp=sharing"",""แผน!EJ77"")"),182)</f>
        <v>182</v>
      </c>
      <c r="J370" s="269">
        <f ca="1">IFERROR(__xludf.DUMMYFUNCTION("IMPORTRANGE(""https://docs.google.com/spreadsheets/d/1XWAQStnk-4SwqDmLtmXYiTMKHgktTP8We1SCoS47DrQ/edit?usp=sharing"",""จัดที่ดิน!G77"")"),129)</f>
        <v>129</v>
      </c>
      <c r="K370" s="497">
        <f t="shared" ca="1" si="63"/>
        <v>70.879120879120876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63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IFERROR(__xludf.DUMMYFUNCTION("IMPORTRANGE(""https://docs.google.com/spreadsheets/d/1XWAQStnk-4SwqDmLtmXYiTMKHgktTP8We1SCoS47DrQ/edit?usp=sharing"",""จัดที่ดิน!H77"")"),1384.87)</f>
        <v>1384.87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63" t="s">
        <v>35</v>
      </c>
      <c r="I372" s="269">
        <f ca="1">IFERROR(__xludf.DUMMYFUNCTION("IMPORTRANGE(""https://docs.google.com/spreadsheets/d/1QqKyyYR6Q21VydFLVH3TRQUabQu_ym0Zz7PgGX0-kHA/edit?usp=sharing"",""แผน!EJ77"")"),182)</f>
        <v>182</v>
      </c>
      <c r="J372" s="269">
        <f ca="1">IFERROR(__xludf.DUMMYFUNCTION("IMPORTRANGE(""https://docs.google.com/spreadsheets/d/1XWAQStnk-4SwqDmLtmXYiTMKHgktTP8We1SCoS47DrQ/edit?usp=sharing"",""จัดที่ดิน!I77"")"),110)</f>
        <v>110</v>
      </c>
      <c r="K372" s="497">
        <f t="shared" ca="1" si="63"/>
        <v>60.439560439560438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7"/>
      <c r="C373" s="170"/>
      <c r="D373" s="177"/>
      <c r="E373" s="447"/>
      <c r="F373" s="177"/>
      <c r="G373" s="178"/>
      <c r="H373" s="763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IFERROR(__xludf.DUMMYFUNCTION("IMPORTRANGE(""https://docs.google.com/spreadsheets/d/1XWAQStnk-4SwqDmLtmXYiTMKHgktTP8We1SCoS47DrQ/edit?usp=sharing"",""จัดที่ดิน!J77"")"),1079.52)</f>
        <v>1079.52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IFERROR(__xludf.DUMMYFUNCTION("IMPORTRANGE(""https://docs.google.com/spreadsheets/d/1QqKyyYR6Q21VydFLVH3TRQUabQu_ym0Zz7PgGX0-kHA/edit?usp=sharing"",""แผน!EU77"")"),320)</f>
        <v>320</v>
      </c>
      <c r="J374" s="490">
        <f ca="1">J381</f>
        <v>319</v>
      </c>
      <c r="K374" s="491">
        <f t="shared" ca="1" si="63"/>
        <v>99.6875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47" t="s">
        <v>38</v>
      </c>
      <c r="E376" s="172"/>
      <c r="F376" s="172"/>
      <c r="G376" s="173"/>
      <c r="H376" s="761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IFERROR(__xludf.DUMMYFUNCTION("IMPORTRANGE(""https://docs.google.com/spreadsheets/d/1XWAQStnk-4SwqDmLtmXYiTMKHgktTP8We1SCoS47DrQ/edit?usp=sharing"",""จัดที่ดิน!AH77"")"),212)</f>
        <v>212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IFERROR(__xludf.DUMMYFUNCTION("IMPORTRANGE(""https://docs.google.com/spreadsheets/d/1QqKyyYR6Q21VydFLVH3TRQUabQu_ym0Zz7PgGX0-kHA/edit?usp=sharing"",""แผน!ET77"")"),1400)</f>
        <v>1400</v>
      </c>
      <c r="J378" s="269">
        <f ca="1">IFERROR(__xludf.DUMMYFUNCTION("IMPORTRANGE(""https://docs.google.com/spreadsheets/d/1XWAQStnk-4SwqDmLtmXYiTMKHgktTP8We1SCoS47DrQ/edit?usp=sharing"",""จัดที่ดิน!AI77"")"),1474.63)</f>
        <v>1474.63</v>
      </c>
      <c r="K378" s="497">
        <f t="shared" ca="1" si="64"/>
        <v>105.33071428571428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63" t="s">
        <v>35</v>
      </c>
      <c r="I379" s="269">
        <f ca="1">IFERROR(__xludf.DUMMYFUNCTION("IMPORTRANGE(""https://docs.google.com/spreadsheets/d/1QqKyyYR6Q21VydFLVH3TRQUabQu_ym0Zz7PgGX0-kHA/edit?usp=sharing"",""แผน!EU77"")"),320)</f>
        <v>320</v>
      </c>
      <c r="J379" s="269">
        <f ca="1">IFERROR(__xludf.DUMMYFUNCTION("IMPORTRANGE(""https://docs.google.com/spreadsheets/d/1XWAQStnk-4SwqDmLtmXYiTMKHgktTP8We1SCoS47DrQ/edit?usp=sharing"",""จัดที่ดิน!AJ77"")"),337)</f>
        <v>337</v>
      </c>
      <c r="K379" s="497">
        <f t="shared" ca="1" si="64"/>
        <v>105.3125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63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IFERROR(__xludf.DUMMYFUNCTION("IMPORTRANGE(""https://docs.google.com/spreadsheets/d/1XWAQStnk-4SwqDmLtmXYiTMKHgktTP8We1SCoS47DrQ/edit?usp=sharing"",""จัดที่ดิน!AK77"")"),3665.4)</f>
        <v>3665.4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63" t="s">
        <v>35</v>
      </c>
      <c r="I381" s="269">
        <f ca="1">IFERROR(__xludf.DUMMYFUNCTION("IMPORTRANGE(""https://docs.google.com/spreadsheets/d/1QqKyyYR6Q21VydFLVH3TRQUabQu_ym0Zz7PgGX0-kHA/edit?usp=sharing"",""แผน!EU77"")"),320)</f>
        <v>320</v>
      </c>
      <c r="J381" s="269">
        <f ca="1">IFERROR(__xludf.DUMMYFUNCTION("IMPORTRANGE(""https://docs.google.com/spreadsheets/d/1XWAQStnk-4SwqDmLtmXYiTMKHgktTP8We1SCoS47DrQ/edit?usp=sharing"",""จัดที่ดิน!AL77"")"),319)</f>
        <v>319</v>
      </c>
      <c r="K381" s="497">
        <f t="shared" ca="1" si="64"/>
        <v>99.6875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7"/>
      <c r="C382" s="170"/>
      <c r="D382" s="177"/>
      <c r="E382" s="447"/>
      <c r="F382" s="177"/>
      <c r="G382" s="178"/>
      <c r="H382" s="763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IFERROR(__xludf.DUMMYFUNCTION("IMPORTRANGE(""https://docs.google.com/spreadsheets/d/1XWAQStnk-4SwqDmLtmXYiTMKHgktTP8We1SCoS47DrQ/edit?usp=sharing"",""จัดที่ดิน!AM77"")"),3579.18)</f>
        <v>3579.18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498"/>
      <c r="B383" s="499"/>
      <c r="C383" s="290"/>
      <c r="D383" s="849" t="s">
        <v>169</v>
      </c>
      <c r="E383" s="290"/>
      <c r="F383" s="290"/>
      <c r="G383" s="501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4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761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503" t="s">
        <v>170</v>
      </c>
      <c r="F385" s="380"/>
      <c r="G385" s="381"/>
      <c r="H385" s="504" t="s">
        <v>35</v>
      </c>
      <c r="I385" s="505">
        <f ca="1">IFERROR(__xludf.DUMMYFUNCTION("IMPORTRANGE(""https://docs.google.com/spreadsheets/d/1QqKyyYR6Q21VydFLVH3TRQUabQu_ym0Zz7PgGX0-kHA/edit?usp=sharing"",""แผน!EW77"")"),20)</f>
        <v>20</v>
      </c>
      <c r="J385" s="505">
        <f ca="1">IFERROR(__xludf.DUMMYFUNCTION("IMPORTRANGE(""https://docs.google.com/spreadsheets/d/1XWAQStnk-4SwqDmLtmXYiTMKHgktTP8We1SCoS47DrQ/edit?usp=sharing"",""จัดที่ดิน!AP77"")"),5)</f>
        <v>5</v>
      </c>
      <c r="K385" s="506">
        <f ca="1">IF(I385&gt;0,J385*100/I385,0)</f>
        <v>25</v>
      </c>
      <c r="L385" s="384"/>
      <c r="M385" s="384"/>
      <c r="N385" s="384"/>
      <c r="O385" s="384"/>
      <c r="P385" s="384"/>
    </row>
    <row r="386" spans="1:26" ht="19.5" hidden="1">
      <c r="A386" s="507" t="s">
        <v>171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172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173</v>
      </c>
      <c r="C388" s="522"/>
      <c r="D388" s="523"/>
      <c r="E388" s="523"/>
      <c r="F388" s="523"/>
      <c r="G388" s="524"/>
      <c r="H388" s="525" t="s">
        <v>66</v>
      </c>
      <c r="I388" s="526">
        <f>I400</f>
        <v>0</v>
      </c>
      <c r="J388" s="526">
        <f>J400</f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6"/>
      <c r="B389" s="147"/>
      <c r="C389" s="148" t="s">
        <v>16</v>
      </c>
      <c r="D389" s="846" t="s">
        <v>17</v>
      </c>
      <c r="E389" s="147"/>
      <c r="F389" s="147"/>
      <c r="G389" s="150"/>
      <c r="H389" s="151" t="s">
        <v>12</v>
      </c>
      <c r="I389" s="420"/>
      <c r="J389" s="420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6"/>
      <c r="J390" s="616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6"/>
      <c r="J391" s="616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IFERROR(__xludf.DUMMYFUNCTION("IMPORTRANGE(""https://docs.google.com/spreadsheets/d/1MeEWN-I1oV_STSDYn1IFDPWt_1FKiwhDph83XaGc0o0/edit?usp=sharing"",""งบพรบ!FG77"")"),0)</f>
        <v>0</v>
      </c>
      <c r="M394" s="92">
        <f ca="1">IFERROR(__xludf.DUMMYFUNCTION("IMPORTRANGE(""https://docs.google.com/spreadsheets/d/1MeEWN-I1oV_STSDYn1IFDPWt_1FKiwhDph83XaGc0o0/edit?usp=sharing"",""งบพรบ!FL77"")"),0)</f>
        <v>0</v>
      </c>
      <c r="N394" s="92">
        <f ca="1">IFERROR(__xludf.DUMMYFUNCTION("IMPORTRANGE(""https://docs.google.com/spreadsheets/d/1MeEWN-I1oV_STSDYn1IFDPWt_1FKiwhDph83XaGc0o0/edit?usp=sharing"",""งบพรบ!FN77"")"),0)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IFERROR(__xludf.DUMMYFUNCTION("IMPORTRANGE(""https://docs.google.com/spreadsheets/d/1MeEWN-I1oV_STSDYn1IFDPWt_1FKiwhDph83XaGc0o0/edit?usp=sharing"",""งบพรบ!FJ77"")"),0)</f>
        <v>0</v>
      </c>
      <c r="M397" s="92">
        <f ca="1">IFERROR(__xludf.DUMMYFUNCTION("IMPORTRANGE(""https://docs.google.com/spreadsheets/d/1MeEWN-I1oV_STSDYn1IFDPWt_1FKiwhDph83XaGc0o0/edit?usp=sharing"",""งบพรบ!FM77"")"),0)</f>
        <v>0</v>
      </c>
      <c r="N397" s="92">
        <f ca="1">IFERROR(__xludf.DUMMYFUNCTION("IMPORTRANGE(""https://docs.google.com/spreadsheets/d/1MeEWN-I1oV_STSDYn1IFDPWt_1FKiwhDph83XaGc0o0/edit?usp=sharing"",""งบพรบ!FO77"")"),0)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47" t="s">
        <v>38</v>
      </c>
      <c r="E398" s="172"/>
      <c r="F398" s="172"/>
      <c r="G398" s="173"/>
      <c r="H398" s="761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9"/>
      <c r="B399" s="147"/>
      <c r="C399" s="530"/>
      <c r="D399" s="531" t="s">
        <v>174</v>
      </c>
      <c r="E399" s="415"/>
      <c r="F399" s="147"/>
      <c r="G399" s="150"/>
      <c r="H399" s="532" t="s">
        <v>9</v>
      </c>
      <c r="I399" s="269">
        <v>0</v>
      </c>
      <c r="J399" s="214">
        <v>0</v>
      </c>
      <c r="K399" s="497">
        <f>IF(I399&gt;0,J399*100/I399,0)</f>
        <v>0</v>
      </c>
      <c r="L399" s="533"/>
      <c r="M399" s="533"/>
      <c r="N399" s="533"/>
      <c r="O399" s="533"/>
      <c r="P399" s="533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3"/>
      <c r="B400" s="32"/>
      <c r="C400" s="280"/>
      <c r="D400" s="447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20"/>
      <c r="B401" s="521" t="s">
        <v>176</v>
      </c>
      <c r="C401" s="522"/>
      <c r="D401" s="523"/>
      <c r="E401" s="523"/>
      <c r="F401" s="523"/>
      <c r="G401" s="524"/>
      <c r="H401" s="525" t="s">
        <v>66</v>
      </c>
      <c r="I401" s="526">
        <f>I412</f>
        <v>0</v>
      </c>
      <c r="J401" s="526">
        <f>J412</f>
        <v>0</v>
      </c>
      <c r="K401" s="527">
        <f>IF(I401&gt;0,J401*100/I401,0)</f>
        <v>0</v>
      </c>
      <c r="L401" s="528"/>
      <c r="M401" s="528"/>
      <c r="N401" s="528"/>
      <c r="O401" s="528"/>
      <c r="P401" s="528"/>
    </row>
    <row r="402" spans="1:26" ht="19.5" hidden="1">
      <c r="A402" s="146"/>
      <c r="B402" s="147"/>
      <c r="C402" s="148" t="s">
        <v>16</v>
      </c>
      <c r="D402" s="846" t="s">
        <v>17</v>
      </c>
      <c r="E402" s="147"/>
      <c r="F402" s="147"/>
      <c r="G402" s="150"/>
      <c r="H402" s="151" t="s">
        <v>12</v>
      </c>
      <c r="I402" s="420"/>
      <c r="J402" s="420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6"/>
      <c r="J403" s="616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6"/>
      <c r="J404" s="616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IFERROR(__xludf.DUMMYFUNCTION("IMPORTRANGE(""https://docs.google.com/spreadsheets/d/1MeEWN-I1oV_STSDYn1IFDPWt_1FKiwhDph83XaGc0o0/edit?usp=sharing"",""งบพรบ!FQ77"")"),0)</f>
        <v>0</v>
      </c>
      <c r="M407" s="92">
        <f ca="1">IFERROR(__xludf.DUMMYFUNCTION("IMPORTRANGE(""https://docs.google.com/spreadsheets/d/1MeEWN-I1oV_STSDYn1IFDPWt_1FKiwhDph83XaGc0o0/edit?usp=sharing"",""งบพรบ!FV77"")"),0)</f>
        <v>0</v>
      </c>
      <c r="N407" s="92">
        <f ca="1">IFERROR(__xludf.DUMMYFUNCTION("IMPORTRANGE(""https://docs.google.com/spreadsheets/d/1MeEWN-I1oV_STSDYn1IFDPWt_1FKiwhDph83XaGc0o0/edit?usp=sharing"",""งบพรบ!FX77"")"),0)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IFERROR(__xludf.DUMMYFUNCTION("IMPORTRANGE(""https://docs.google.com/spreadsheets/d/1MeEWN-I1oV_STSDYn1IFDPWt_1FKiwhDph83XaGc0o0/edit?usp=sharing"",""งบพรบ!FT77"")"),0)</f>
        <v>0</v>
      </c>
      <c r="M410" s="92">
        <f ca="1">IFERROR(__xludf.DUMMYFUNCTION("IMPORTRANGE(""https://docs.google.com/spreadsheets/d/1MeEWN-I1oV_STSDYn1IFDPWt_1FKiwhDph83XaGc0o0/edit?usp=sharing"",""งบพรบ!FW77"")"),0)</f>
        <v>0</v>
      </c>
      <c r="N410" s="92">
        <f ca="1">IFERROR(__xludf.DUMMYFUNCTION("IMPORTRANGE(""https://docs.google.com/spreadsheets/d/1MeEWN-I1oV_STSDYn1IFDPWt_1FKiwhDph83XaGc0o0/edit?usp=sharing"",""งบพรบ!FY77"")"),0)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45" t="s">
        <v>38</v>
      </c>
      <c r="E411" s="535"/>
      <c r="F411" s="535"/>
      <c r="G411" s="536"/>
      <c r="H411" s="761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7" t="s">
        <v>177</v>
      </c>
      <c r="E412" s="177"/>
      <c r="F412" s="177"/>
      <c r="G412" s="178"/>
      <c r="H412" s="537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8"/>
      <c r="B413" s="539"/>
      <c r="C413" s="539"/>
      <c r="D413" s="540" t="s">
        <v>178</v>
      </c>
      <c r="E413" s="539"/>
      <c r="F413" s="539"/>
      <c r="G413" s="541"/>
      <c r="H413" s="542" t="s">
        <v>179</v>
      </c>
      <c r="I413" s="543">
        <v>0</v>
      </c>
      <c r="J413" s="544">
        <v>0</v>
      </c>
      <c r="K413" s="545">
        <f>IF(I413&gt;0,J413*100/I413,0)</f>
        <v>0</v>
      </c>
      <c r="L413" s="546"/>
      <c r="M413" s="546"/>
      <c r="N413" s="546"/>
      <c r="O413" s="546"/>
      <c r="P413" s="546"/>
    </row>
    <row r="414" spans="1:26" ht="19.5">
      <c r="A414" s="547" t="s">
        <v>180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ca="1">L419+L444+L467+L502+L523+L544+L629+L655+L685+L737+L754+L770+L786+L805</f>
        <v>832712</v>
      </c>
      <c r="M414" s="553">
        <f ca="1">M419+M444+M467+M502+M523+M544+M629+M655+M685+M737+M754+M770+M786+M805</f>
        <v>828245.74</v>
      </c>
      <c r="N414" s="553">
        <f>N419+N444+N467+N502+N523+N544+N629+N655+N685+N737+N754+N770+N786+N805</f>
        <v>828245.74</v>
      </c>
      <c r="O414" s="553">
        <f ca="1">IF(L414&gt;0,N414*100/L414,0)</f>
        <v>99.463648896617315</v>
      </c>
      <c r="P414" s="553">
        <f ca="1">IF(M414&gt;0,N414*100/M414,0)</f>
        <v>100</v>
      </c>
    </row>
    <row r="415" spans="1:26" ht="19.5">
      <c r="A415" s="554" t="s">
        <v>181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182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183</v>
      </c>
      <c r="C417" s="565"/>
      <c r="D417" s="566"/>
      <c r="E417" s="566"/>
      <c r="F417" s="566"/>
      <c r="G417" s="567"/>
      <c r="H417" s="568" t="s">
        <v>35</v>
      </c>
      <c r="I417" s="569">
        <f ca="1">I433</f>
        <v>15</v>
      </c>
      <c r="J417" s="569">
        <f ca="1">J433</f>
        <v>15</v>
      </c>
      <c r="K417" s="570">
        <f ca="1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ca="1">I434</f>
        <v>1</v>
      </c>
      <c r="J418" s="569">
        <f>J434</f>
        <v>1</v>
      </c>
      <c r="K418" s="570">
        <f ca="1">IF(I418&gt;0,J418*100/I418,0)</f>
        <v>100</v>
      </c>
      <c r="L418" s="571"/>
      <c r="M418" s="571"/>
      <c r="N418" s="571"/>
      <c r="O418" s="571"/>
      <c r="P418" s="571"/>
    </row>
    <row r="419" spans="1:26" ht="19.5">
      <c r="A419" s="146"/>
      <c r="B419" s="147"/>
      <c r="C419" s="147" t="s">
        <v>16</v>
      </c>
      <c r="D419" s="910" t="s">
        <v>17</v>
      </c>
      <c r="E419" s="890"/>
      <c r="F419" s="890"/>
      <c r="G419" s="150"/>
      <c r="H419" s="274" t="s">
        <v>12</v>
      </c>
      <c r="I419" s="420"/>
      <c r="J419" s="420"/>
      <c r="K419" s="153"/>
      <c r="L419" s="154">
        <f ca="1">L420+L421</f>
        <v>66560</v>
      </c>
      <c r="M419" s="154">
        <f ca="1">M420+M421</f>
        <v>66560</v>
      </c>
      <c r="N419" s="154">
        <f>N420+N421</f>
        <v>66560</v>
      </c>
      <c r="O419" s="154">
        <f t="shared" ref="O419:O424" ca="1" si="71">IF(L419&gt;0,N419*100/L419,0)</f>
        <v>100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6"/>
      <c r="J420" s="616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6"/>
      <c r="J421" s="616"/>
      <c r="K421" s="92"/>
      <c r="L421" s="92">
        <f t="shared" ca="1" si="73"/>
        <v>66560</v>
      </c>
      <c r="M421" s="92">
        <f t="shared" ca="1" si="73"/>
        <v>66560</v>
      </c>
      <c r="N421" s="92">
        <f t="shared" si="73"/>
        <v>66560</v>
      </c>
      <c r="O421" s="92">
        <f t="shared" ca="1" si="71"/>
        <v>100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66560</v>
      </c>
      <c r="M422" s="497">
        <f ca="1">M423+M424</f>
        <v>66560</v>
      </c>
      <c r="N422" s="497">
        <f>N423+N424</f>
        <v>66560</v>
      </c>
      <c r="O422" s="497">
        <f t="shared" ca="1" si="71"/>
        <v>100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6"/>
      <c r="J423" s="616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6"/>
      <c r="J424" s="616"/>
      <c r="K424" s="92"/>
      <c r="L424" s="92">
        <f ca="1">IFERROR(__xludf.DUMMYFUNCTION("IMPORTRANGE(""https://docs.google.com/spreadsheets/d/1QqKyyYR6Q21VydFLVH3TRQUabQu_ym0Zz7PgGX0-kHA/edit?usp=sharing"",""แผน!EY77"")"),66560)</f>
        <v>66560</v>
      </c>
      <c r="M424" s="92">
        <f ca="1">L424</f>
        <v>66560</v>
      </c>
      <c r="N424" s="92">
        <f>N425+N426+N427+N428</f>
        <v>66560</v>
      </c>
      <c r="O424" s="92">
        <f t="shared" ca="1" si="71"/>
        <v>100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73"/>
      <c r="B425" s="574"/>
      <c r="C425" s="762"/>
      <c r="D425" s="762"/>
      <c r="E425" s="762"/>
      <c r="F425" s="762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826">
        <v>38500</v>
      </c>
      <c r="O425" s="497"/>
      <c r="P425" s="497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826">
        <v>0</v>
      </c>
      <c r="O426" s="497"/>
      <c r="P426" s="497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826">
        <v>0</v>
      </c>
      <c r="O427" s="497"/>
      <c r="P427" s="497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3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826">
        <v>28060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IFERROR(__xludf.DUMMYFUNCTION("IMPORTRANGE(""https://docs.google.com/spreadsheets/d/1QqKyyYR6Q21VydFLVH3TRQUabQu_ym0Zz7PgGX0-kHA/edit?usp=sharing"",""แผน!FB77"")"),0)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4"/>
      <c r="B432" s="415"/>
      <c r="C432" s="147" t="s">
        <v>16</v>
      </c>
      <c r="D432" s="844" t="s">
        <v>38</v>
      </c>
      <c r="E432" s="579"/>
      <c r="F432" s="579"/>
      <c r="G432" s="580"/>
      <c r="H432" s="581"/>
      <c r="I432" s="420"/>
      <c r="J432" s="420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80">
        <f ca="1">I438+I440</f>
        <v>1</v>
      </c>
      <c r="J434" s="680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7" t="s">
        <v>192</v>
      </c>
      <c r="E435" s="177"/>
      <c r="F435" s="177"/>
      <c r="G435" s="178"/>
      <c r="H435" s="622" t="s">
        <v>35</v>
      </c>
      <c r="I435" s="582">
        <f ca="1">IFERROR(__xludf.DUMMYFUNCTION("IMPORTRANGE(""https://docs.google.com/spreadsheets/d/1QqKyyYR6Q21VydFLVH3TRQUabQu_ym0Zz7PgGX0-kHA/edit?usp=sharing"",""แผน!FC77"")"),15)</f>
        <v>15</v>
      </c>
      <c r="J435" s="583">
        <v>15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7" t="s">
        <v>193</v>
      </c>
      <c r="E436" s="177"/>
      <c r="F436" s="177"/>
      <c r="G436" s="178"/>
      <c r="H436" s="622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7" t="s">
        <v>194</v>
      </c>
      <c r="E437" s="177"/>
      <c r="F437" s="177"/>
      <c r="G437" s="178"/>
      <c r="H437" s="622" t="s">
        <v>35</v>
      </c>
      <c r="I437" s="582">
        <f ca="1">IFERROR(__xludf.DUMMYFUNCTION("IMPORTRANGE(""https://docs.google.com/spreadsheets/d/1QqKyyYR6Q21VydFLVH3TRQUabQu_ym0Zz7PgGX0-kHA/edit?usp=sharing"",""แผน!FD77"")"),0)</f>
        <v>0</v>
      </c>
      <c r="J437" s="583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7" t="s">
        <v>195</v>
      </c>
      <c r="E438" s="177"/>
      <c r="F438" s="177"/>
      <c r="G438" s="178"/>
      <c r="H438" s="622" t="s">
        <v>49</v>
      </c>
      <c r="I438" s="269">
        <f ca="1">IFERROR(__xludf.DUMMYFUNCTION("IMPORTRANGE(""https://docs.google.com/spreadsheets/d/1QqKyyYR6Q21VydFLVH3TRQUabQu_ym0Zz7PgGX0-kHA/edit?usp=sharing"",""แผน!FE77"")"),0)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7" t="s">
        <v>196</v>
      </c>
      <c r="E439" s="177"/>
      <c r="F439" s="177"/>
      <c r="G439" s="178"/>
      <c r="H439" s="622" t="s">
        <v>35</v>
      </c>
      <c r="I439" s="582">
        <f ca="1">IFERROR(__xludf.DUMMYFUNCTION("IMPORTRANGE(""https://docs.google.com/spreadsheets/d/1QqKyyYR6Q21VydFLVH3TRQUabQu_ym0Zz7PgGX0-kHA/edit?usp=sharing"",""แผน!FF77"")"),15)</f>
        <v>15</v>
      </c>
      <c r="J439" s="583">
        <v>15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7" t="s">
        <v>197</v>
      </c>
      <c r="E440" s="177"/>
      <c r="F440" s="177"/>
      <c r="G440" s="178"/>
      <c r="H440" s="622" t="s">
        <v>49</v>
      </c>
      <c r="I440" s="269">
        <f ca="1">IFERROR(__xludf.DUMMYFUNCTION("IMPORTRANGE(""https://docs.google.com/spreadsheets/d/1QqKyyYR6Q21VydFLVH3TRQUabQu_ym0Zz7PgGX0-kHA/edit?usp=sharing"",""แผน!FG77"")"),1)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7" t="s">
        <v>198</v>
      </c>
      <c r="E441" s="177"/>
      <c r="F441" s="177"/>
      <c r="G441" s="178"/>
      <c r="H441" s="622" t="s">
        <v>35</v>
      </c>
      <c r="I441" s="269">
        <f ca="1">IFERROR(__xludf.DUMMYFUNCTION("IMPORTRANGE(""https://docs.google.com/spreadsheets/d/1QqKyyYR6Q21VydFLVH3TRQUabQu_ym0Zz7PgGX0-kHA/edit?usp=sharing"",""แผน!FH77"")"),0)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84">
        <v>2</v>
      </c>
      <c r="B442" s="585" t="s">
        <v>199</v>
      </c>
      <c r="C442" s="586"/>
      <c r="D442" s="586"/>
      <c r="E442" s="586"/>
      <c r="F442" s="586"/>
      <c r="G442" s="587"/>
      <c r="H442" s="588" t="s">
        <v>35</v>
      </c>
      <c r="I442" s="589">
        <f ca="1">I460</f>
        <v>10</v>
      </c>
      <c r="J442" s="589">
        <f>J460</f>
        <v>10</v>
      </c>
      <c r="K442" s="590">
        <f t="shared" ca="1" si="7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ca="1">I462</f>
        <v>30</v>
      </c>
      <c r="J443" s="569">
        <f>J462</f>
        <v>30</v>
      </c>
      <c r="K443" s="570">
        <f t="shared" ca="1" si="7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87" t="s">
        <v>17</v>
      </c>
      <c r="E444" s="888"/>
      <c r="F444" s="888"/>
      <c r="G444" s="188"/>
      <c r="H444" s="597" t="s">
        <v>12</v>
      </c>
      <c r="I444" s="269"/>
      <c r="J444" s="269"/>
      <c r="K444" s="497"/>
      <c r="L444" s="194">
        <f ca="1">L445+L446</f>
        <v>87960</v>
      </c>
      <c r="M444" s="194">
        <f ca="1">M445+M446</f>
        <v>100053.58</v>
      </c>
      <c r="N444" s="194">
        <f>N445+N446</f>
        <v>100053.58</v>
      </c>
      <c r="O444" s="194">
        <f t="shared" ref="O444:O449" ca="1" si="75">IF(L444&gt;0,N444*100/L444,0)</f>
        <v>113.74895407003183</v>
      </c>
      <c r="P444" s="194">
        <f t="shared" ref="P444:P449" ca="1" si="76">IF(M444&gt;0,N444*100/M444,0)</f>
        <v>100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184</v>
      </c>
      <c r="F445" s="758"/>
      <c r="G445" s="602"/>
      <c r="H445" s="164" t="s">
        <v>12</v>
      </c>
      <c r="I445" s="616"/>
      <c r="J445" s="616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185</v>
      </c>
      <c r="F446" s="758"/>
      <c r="G446" s="602"/>
      <c r="H446" s="164" t="s">
        <v>12</v>
      </c>
      <c r="I446" s="616"/>
      <c r="J446" s="616"/>
      <c r="K446" s="92"/>
      <c r="L446" s="92">
        <f t="shared" ca="1" si="77"/>
        <v>87960</v>
      </c>
      <c r="M446" s="92">
        <f t="shared" ca="1" si="77"/>
        <v>100053.58</v>
      </c>
      <c r="N446" s="92">
        <f t="shared" si="77"/>
        <v>100053.58</v>
      </c>
      <c r="O446" s="92">
        <f t="shared" ca="1" si="75"/>
        <v>113.74895407003183</v>
      </c>
      <c r="P446" s="92">
        <f t="shared" ca="1" si="76"/>
        <v>100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8"/>
      <c r="H447" s="160" t="s">
        <v>12</v>
      </c>
      <c r="I447" s="183"/>
      <c r="J447" s="183"/>
      <c r="K447" s="162"/>
      <c r="L447" s="497">
        <f ca="1">L448+L449</f>
        <v>87960</v>
      </c>
      <c r="M447" s="497">
        <f ca="1">M448+M449</f>
        <v>100053.58</v>
      </c>
      <c r="N447" s="497">
        <f>N448+N449</f>
        <v>100053.58</v>
      </c>
      <c r="O447" s="497">
        <f t="shared" ca="1" si="75"/>
        <v>113.74895407003183</v>
      </c>
      <c r="P447" s="497">
        <f t="shared" ca="1" si="76"/>
        <v>100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184</v>
      </c>
      <c r="F448" s="758"/>
      <c r="G448" s="602"/>
      <c r="H448" s="164" t="s">
        <v>12</v>
      </c>
      <c r="I448" s="616"/>
      <c r="J448" s="616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185</v>
      </c>
      <c r="F449" s="758"/>
      <c r="G449" s="602"/>
      <c r="H449" s="164" t="s">
        <v>12</v>
      </c>
      <c r="I449" s="616"/>
      <c r="J449" s="616"/>
      <c r="K449" s="92"/>
      <c r="L449" s="92">
        <f ca="1">IFERROR(__xludf.DUMMYFUNCTION("IMPORTRANGE(""https://docs.google.com/spreadsheets/d/1QqKyyYR6Q21VydFLVH3TRQUabQu_ym0Zz7PgGX0-kHA/edit?usp=sharing"",""แผน!FJ77"")"),87960)</f>
        <v>87960</v>
      </c>
      <c r="M449" s="92">
        <f ca="1">L449+24750-12656.42</f>
        <v>100053.58</v>
      </c>
      <c r="N449" s="92">
        <f>N450+N451+N452+N453</f>
        <v>100053.58</v>
      </c>
      <c r="O449" s="92">
        <f t="shared" ca="1" si="75"/>
        <v>113.74895407003183</v>
      </c>
      <c r="P449" s="92">
        <f t="shared" ca="1" si="76"/>
        <v>100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826">
        <v>38722.300000000003</v>
      </c>
      <c r="O450" s="497"/>
      <c r="P450" s="497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826">
        <v>43010</v>
      </c>
      <c r="O451" s="497"/>
      <c r="P451" s="497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826">
        <v>0</v>
      </c>
      <c r="O452" s="497"/>
      <c r="P452" s="497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826">
        <v>18321.28</v>
      </c>
      <c r="O453" s="497"/>
      <c r="P453" s="497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IFERROR(__xludf.DUMMYFUNCTION("IMPORTRANGE(""https://docs.google.com/spreadsheets/d/1QqKyyYR6Q21VydFLVH3TRQUabQu_ym0Zz7PgGX0-kHA/edit?usp=sharing"",""แผน!FM77"")"),0)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40" t="s">
        <v>38</v>
      </c>
      <c r="E457" s="610"/>
      <c r="F457" s="760"/>
      <c r="G457" s="612"/>
      <c r="H457" s="761"/>
      <c r="I457" s="269"/>
      <c r="J457" s="269"/>
      <c r="K457" s="497"/>
      <c r="L457" s="497"/>
      <c r="M457" s="497"/>
      <c r="N457" s="497"/>
      <c r="O457" s="497"/>
      <c r="P457" s="497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200</v>
      </c>
      <c r="E458" s="615"/>
      <c r="F458" s="719"/>
      <c r="G458" s="365"/>
      <c r="H458" s="369" t="s">
        <v>35</v>
      </c>
      <c r="I458" s="616">
        <v>0</v>
      </c>
      <c r="J458" s="616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201</v>
      </c>
      <c r="E459" s="615"/>
      <c r="F459" s="719"/>
      <c r="G459" s="365"/>
      <c r="H459" s="369"/>
      <c r="I459" s="616"/>
      <c r="J459" s="616"/>
      <c r="K459" s="92"/>
      <c r="L459" s="92"/>
      <c r="M459" s="92"/>
      <c r="N459" s="92"/>
      <c r="O459" s="92"/>
      <c r="P459" s="92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202</v>
      </c>
      <c r="E460" s="617"/>
      <c r="F460" s="625"/>
      <c r="G460" s="761"/>
      <c r="H460" s="763" t="s">
        <v>35</v>
      </c>
      <c r="I460" s="269">
        <f ca="1">IFERROR(__xludf.DUMMYFUNCTION("IMPORTRANGE(""https://docs.google.com/spreadsheets/d/1QqKyyYR6Q21VydFLVH3TRQUabQu_ym0Zz7PgGX0-kHA/edit?usp=sharing"",""แผน!FN77"")"),10)</f>
        <v>10</v>
      </c>
      <c r="J460" s="214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203</v>
      </c>
      <c r="E461" s="625"/>
      <c r="F461" s="625"/>
      <c r="G461" s="761"/>
      <c r="H461" s="763"/>
      <c r="I461" s="269"/>
      <c r="J461" s="269"/>
      <c r="K461" s="497"/>
      <c r="L461" s="497"/>
      <c r="M461" s="497"/>
      <c r="N461" s="497"/>
      <c r="O461" s="497"/>
      <c r="P461" s="497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204</v>
      </c>
      <c r="E462" s="625"/>
      <c r="F462" s="625"/>
      <c r="G462" s="761"/>
      <c r="H462" s="763" t="s">
        <v>46</v>
      </c>
      <c r="I462" s="269">
        <f ca="1">IFERROR(__xludf.DUMMYFUNCTION("IMPORTRANGE(""https://docs.google.com/spreadsheets/d/1QqKyyYR6Q21VydFLVH3TRQUabQu_ym0Zz7PgGX0-kHA/edit?usp=sharing"",""แผน!FO77"")"),30)</f>
        <v>30</v>
      </c>
      <c r="J462" s="214">
        <v>30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8"/>
      <c r="H463" s="763" t="s">
        <v>46</v>
      </c>
      <c r="I463" s="269">
        <f ca="1">IFERROR(__xludf.DUMMYFUNCTION("IMPORTRANGE(""https://docs.google.com/spreadsheets/d/1QqKyyYR6Q21VydFLVH3TRQUabQu_ym0Zz7PgGX0-kHA/edit?usp=sharing"",""แผน!FO77"")"),30)</f>
        <v>30</v>
      </c>
      <c r="J463" s="214">
        <v>30</v>
      </c>
      <c r="K463" s="497"/>
      <c r="L463" s="497"/>
      <c r="M463" s="497"/>
      <c r="N463" s="497"/>
      <c r="O463" s="497"/>
      <c r="P463" s="497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69">
        <f ca="1">IFERROR(__xludf.DUMMYFUNCTION("IMPORTRANGE(""https://docs.google.com/spreadsheets/d/1QqKyyYR6Q21VydFLVH3TRQUabQu_ym0Zz7PgGX0-kHA/edit?usp=sharing"",""แผน!FN77"")"),10)</f>
        <v>10</v>
      </c>
      <c r="J464" s="214">
        <v>10</v>
      </c>
      <c r="K464" s="497"/>
      <c r="L464" s="497"/>
      <c r="M464" s="497"/>
      <c r="N464" s="497"/>
      <c r="O464" s="497"/>
      <c r="P464" s="497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205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IFERROR(__xludf.DUMMYFUNCTION("IMPORTRANGE(""https://docs.google.com/spreadsheets/d/1QqKyyYR6Q21VydFLVH3TRQUabQu_ym0Zz7PgGX0-kHA/edit?usp=sharing"",""แผน!FX77"")"),41)</f>
        <v>41</v>
      </c>
      <c r="J465" s="589">
        <f>J485+J489+J492</f>
        <v>41</v>
      </c>
      <c r="K465" s="590">
        <f ca="1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IFERROR(__xludf.DUMMYFUNCTION("IMPORTRANGE(""https://docs.google.com/spreadsheets/d/1QqKyyYR6Q21VydFLVH3TRQUabQu_ym0Zz7PgGX0-kHA/edit?usp=sharing"",""แผน!FW77"")"),400)</f>
        <v>400</v>
      </c>
      <c r="J466" s="569">
        <f>J495+J498</f>
        <v>400</v>
      </c>
      <c r="K466" s="570">
        <f ca="1">IF(I466&gt;0,J466*100/I466,0)</f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87" t="s">
        <v>17</v>
      </c>
      <c r="E467" s="888"/>
      <c r="F467" s="888"/>
      <c r="G467" s="188"/>
      <c r="H467" s="597" t="s">
        <v>12</v>
      </c>
      <c r="I467" s="269"/>
      <c r="J467" s="269"/>
      <c r="K467" s="497"/>
      <c r="L467" s="194">
        <f ca="1">L468+L469</f>
        <v>327863</v>
      </c>
      <c r="M467" s="194">
        <f ca="1">M468+M469</f>
        <v>341043</v>
      </c>
      <c r="N467" s="194">
        <f>N468+N469</f>
        <v>341043</v>
      </c>
      <c r="O467" s="194">
        <f t="shared" ref="O467:O472" ca="1" si="78">IF(L467&gt;0,N467*100/L467,0)</f>
        <v>104.01997175649585</v>
      </c>
      <c r="P467" s="194">
        <f t="shared" ref="P467:P472" ca="1" si="79">IF(M467&gt;0,N467*100/M467,0)</f>
        <v>100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184</v>
      </c>
      <c r="F468" s="758"/>
      <c r="G468" s="602"/>
      <c r="H468" s="164" t="s">
        <v>12</v>
      </c>
      <c r="I468" s="616"/>
      <c r="J468" s="616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185</v>
      </c>
      <c r="F469" s="758"/>
      <c r="G469" s="602"/>
      <c r="H469" s="164" t="s">
        <v>12</v>
      </c>
      <c r="I469" s="616"/>
      <c r="J469" s="616"/>
      <c r="K469" s="92"/>
      <c r="L469" s="92">
        <f t="shared" ca="1" si="80"/>
        <v>327863</v>
      </c>
      <c r="M469" s="92">
        <f t="shared" ca="1" si="80"/>
        <v>341043</v>
      </c>
      <c r="N469" s="92">
        <f t="shared" si="80"/>
        <v>341043</v>
      </c>
      <c r="O469" s="92">
        <f t="shared" ca="1" si="78"/>
        <v>104.01997175649585</v>
      </c>
      <c r="P469" s="92">
        <f t="shared" ca="1" si="79"/>
        <v>100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8"/>
      <c r="H470" s="160" t="s">
        <v>12</v>
      </c>
      <c r="I470" s="183"/>
      <c r="J470" s="183"/>
      <c r="K470" s="162"/>
      <c r="L470" s="497">
        <f ca="1">L471+L472</f>
        <v>327863</v>
      </c>
      <c r="M470" s="497">
        <f ca="1">M471+M472</f>
        <v>341043</v>
      </c>
      <c r="N470" s="497">
        <f>N471+N472</f>
        <v>341043</v>
      </c>
      <c r="O470" s="497">
        <f t="shared" ca="1" si="78"/>
        <v>104.01997175649585</v>
      </c>
      <c r="P470" s="497">
        <f t="shared" ca="1" si="79"/>
        <v>100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184</v>
      </c>
      <c r="F471" s="758"/>
      <c r="G471" s="602"/>
      <c r="H471" s="164" t="s">
        <v>12</v>
      </c>
      <c r="I471" s="616"/>
      <c r="J471" s="616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185</v>
      </c>
      <c r="F472" s="758"/>
      <c r="G472" s="602"/>
      <c r="H472" s="164" t="s">
        <v>12</v>
      </c>
      <c r="I472" s="616"/>
      <c r="J472" s="616"/>
      <c r="K472" s="92"/>
      <c r="L472" s="92">
        <f ca="1">IFERROR(__xludf.DUMMYFUNCTION("IMPORTRANGE(""https://docs.google.com/spreadsheets/d/1QqKyyYR6Q21VydFLVH3TRQUabQu_ym0Zz7PgGX0-kHA/edit?usp=sharing"",""แผน!FS77"")"),327863)</f>
        <v>327863</v>
      </c>
      <c r="M472" s="92">
        <f ca="1">L472+13180</f>
        <v>341043</v>
      </c>
      <c r="N472" s="92">
        <f>N473+N474+N475+N476</f>
        <v>341043</v>
      </c>
      <c r="O472" s="92">
        <f t="shared" ca="1" si="78"/>
        <v>104.01997175649585</v>
      </c>
      <c r="P472" s="92">
        <f t="shared" ca="1" si="79"/>
        <v>100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826">
        <v>61176.72</v>
      </c>
      <c r="O473" s="497"/>
      <c r="P473" s="497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826">
        <v>252000</v>
      </c>
      <c r="O474" s="497"/>
      <c r="P474" s="497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826">
        <v>0</v>
      </c>
      <c r="O475" s="497"/>
      <c r="P475" s="497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826">
        <v>27866.28</v>
      </c>
      <c r="O476" s="497"/>
      <c r="P476" s="497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IFERROR(__xludf.DUMMYFUNCTION("IMPORTRANGE(""https://docs.google.com/spreadsheets/d/1QqKyyYR6Q21VydFLVH3TRQUabQu_ym0Zz7PgGX0-kHA/edit?usp=sharing"",""แผน!FV77"")"),0)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43" t="s">
        <v>38</v>
      </c>
      <c r="E480" s="610"/>
      <c r="F480" s="760"/>
      <c r="G480" s="612"/>
      <c r="H480" s="761"/>
      <c r="I480" s="269"/>
      <c r="J480" s="269"/>
      <c r="K480" s="497"/>
      <c r="L480" s="497"/>
      <c r="M480" s="497"/>
      <c r="N480" s="497"/>
      <c r="O480" s="497"/>
      <c r="P480" s="497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206</v>
      </c>
      <c r="E481" s="617"/>
      <c r="F481" s="617"/>
      <c r="G481" s="761"/>
      <c r="H481" s="188"/>
      <c r="I481" s="269"/>
      <c r="J481" s="269"/>
      <c r="K481" s="497"/>
      <c r="L481" s="497"/>
      <c r="M481" s="497"/>
      <c r="N481" s="497"/>
      <c r="O481" s="497"/>
      <c r="P481" s="497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207</v>
      </c>
      <c r="F482" s="617"/>
      <c r="G482" s="761"/>
      <c r="H482" s="188"/>
      <c r="I482" s="269"/>
      <c r="J482" s="269"/>
      <c r="K482" s="497"/>
      <c r="L482" s="497"/>
      <c r="M482" s="497"/>
      <c r="N482" s="497"/>
      <c r="O482" s="497"/>
      <c r="P482" s="497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208</v>
      </c>
      <c r="G483" s="761"/>
      <c r="H483" s="622" t="s">
        <v>46</v>
      </c>
      <c r="I483" s="269">
        <f ca="1">IFERROR(__xludf.DUMMYFUNCTION("IMPORTRANGE(""https://docs.google.com/spreadsheets/d/1QqKyyYR6Q21VydFLVH3TRQUabQu_ym0Zz7PgGX0-kHA/edit?usp=sharing"",""แผน!FY77"")"),360)</f>
        <v>360</v>
      </c>
      <c r="J483" s="214">
        <v>360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209</v>
      </c>
      <c r="G484" s="761"/>
      <c r="H484" s="622" t="s">
        <v>35</v>
      </c>
      <c r="I484" s="269"/>
      <c r="J484" s="214">
        <v>36</v>
      </c>
      <c r="K484" s="497"/>
      <c r="L484" s="497"/>
      <c r="M484" s="497"/>
      <c r="N484" s="497"/>
      <c r="O484" s="497"/>
      <c r="P484" s="497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210</v>
      </c>
      <c r="G485" s="761"/>
      <c r="H485" s="622" t="s">
        <v>35</v>
      </c>
      <c r="I485" s="269">
        <f ca="1">IFERROR(__xludf.DUMMYFUNCTION("IMPORTRANGE(""https://docs.google.com/spreadsheets/d/1QqKyyYR6Q21VydFLVH3TRQUabQu_ym0Zz7PgGX0-kHA/edit?usp=sharing"",""แผน!FZ77"")"),36)</f>
        <v>36</v>
      </c>
      <c r="J485" s="214">
        <v>36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69"/>
      <c r="J486" s="269"/>
      <c r="K486" s="497"/>
      <c r="L486" s="497"/>
      <c r="M486" s="497"/>
      <c r="N486" s="497"/>
      <c r="O486" s="497"/>
      <c r="P486" s="497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208</v>
      </c>
      <c r="G487" s="761"/>
      <c r="H487" s="622" t="s">
        <v>46</v>
      </c>
      <c r="I487" s="269">
        <f ca="1">IFERROR(__xludf.DUMMYFUNCTION("IMPORTRANGE(""https://docs.google.com/spreadsheets/d/1QqKyyYR6Q21VydFLVH3TRQUabQu_ym0Zz7PgGX0-kHA/edit?usp=sharing"",""แผน!GA77"")"),40)</f>
        <v>40</v>
      </c>
      <c r="J487" s="214">
        <v>40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211</v>
      </c>
      <c r="G488" s="761"/>
      <c r="H488" s="622" t="s">
        <v>35</v>
      </c>
      <c r="I488" s="269"/>
      <c r="J488" s="214">
        <v>4</v>
      </c>
      <c r="K488" s="497"/>
      <c r="L488" s="497"/>
      <c r="M488" s="497"/>
      <c r="N488" s="497"/>
      <c r="O488" s="497"/>
      <c r="P488" s="497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212</v>
      </c>
      <c r="G489" s="761"/>
      <c r="H489" s="622" t="s">
        <v>35</v>
      </c>
      <c r="I489" s="269">
        <f ca="1">IFERROR(__xludf.DUMMYFUNCTION("IMPORTRANGE(""https://docs.google.com/spreadsheets/d/1QqKyyYR6Q21VydFLVH3TRQUabQu_ym0Zz7PgGX0-kHA/edit?usp=sharing"",""แผน!GB77"")"),4)</f>
        <v>4</v>
      </c>
      <c r="J489" s="214">
        <v>4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69"/>
      <c r="J490" s="269"/>
      <c r="K490" s="497"/>
      <c r="L490" s="497"/>
      <c r="M490" s="497"/>
      <c r="N490" s="497"/>
      <c r="O490" s="497"/>
      <c r="P490" s="497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213</v>
      </c>
      <c r="G491" s="761"/>
      <c r="H491" s="622" t="s">
        <v>35</v>
      </c>
      <c r="I491" s="269"/>
      <c r="J491" s="214">
        <v>1</v>
      </c>
      <c r="K491" s="497"/>
      <c r="L491" s="497"/>
      <c r="M491" s="497"/>
      <c r="N491" s="497"/>
      <c r="O491" s="497"/>
      <c r="P491" s="497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214</v>
      </c>
      <c r="G492" s="761"/>
      <c r="H492" s="622" t="s">
        <v>35</v>
      </c>
      <c r="I492" s="269">
        <f ca="1">IFERROR(__xludf.DUMMYFUNCTION("IMPORTRANGE(""https://docs.google.com/spreadsheets/d/1QqKyyYR6Q21VydFLVH3TRQUabQu_ym0Zz7PgGX0-kHA/edit?usp=sharing"",""แผน!GC77"")"),1)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8"/>
      <c r="I493" s="269"/>
      <c r="J493" s="269"/>
      <c r="K493" s="497"/>
      <c r="L493" s="497"/>
      <c r="M493" s="497"/>
      <c r="N493" s="497"/>
      <c r="O493" s="497"/>
      <c r="P493" s="497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207</v>
      </c>
      <c r="F494" s="625"/>
      <c r="G494" s="761"/>
      <c r="H494" s="188"/>
      <c r="I494" s="269"/>
      <c r="J494" s="269"/>
      <c r="K494" s="497"/>
      <c r="L494" s="497"/>
      <c r="M494" s="497"/>
      <c r="N494" s="497"/>
      <c r="O494" s="497"/>
      <c r="P494" s="497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215</v>
      </c>
      <c r="G495" s="761"/>
      <c r="H495" s="622" t="s">
        <v>46</v>
      </c>
      <c r="I495" s="269">
        <f ca="1">IFERROR(__xludf.DUMMYFUNCTION("IMPORTRANGE(""https://docs.google.com/spreadsheets/d/1QqKyyYR6Q21VydFLVH3TRQUabQu_ym0Zz7PgGX0-kHA/edit?usp=sharing"",""แผน!FY77"")"),360)</f>
        <v>360</v>
      </c>
      <c r="J495" s="214">
        <v>360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216</v>
      </c>
      <c r="G496" s="761"/>
      <c r="H496" s="622" t="s">
        <v>46</v>
      </c>
      <c r="I496" s="269"/>
      <c r="J496" s="214">
        <v>360</v>
      </c>
      <c r="K496" s="497"/>
      <c r="L496" s="497"/>
      <c r="M496" s="497"/>
      <c r="N496" s="497"/>
      <c r="O496" s="497"/>
      <c r="P496" s="497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8"/>
      <c r="I497" s="269"/>
      <c r="J497" s="269"/>
      <c r="K497" s="497"/>
      <c r="L497" s="497"/>
      <c r="M497" s="497"/>
      <c r="N497" s="497"/>
      <c r="O497" s="497"/>
      <c r="P497" s="497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217</v>
      </c>
      <c r="G498" s="761"/>
      <c r="H498" s="622" t="s">
        <v>46</v>
      </c>
      <c r="I498" s="269">
        <f ca="1">IFERROR(__xludf.DUMMYFUNCTION("IMPORTRANGE(""https://docs.google.com/spreadsheets/d/1QqKyyYR6Q21VydFLVH3TRQUabQu_ym0Zz7PgGX0-kHA/edit?usp=sharing"",""แผน!GA77"")"),40)</f>
        <v>40</v>
      </c>
      <c r="J498" s="214">
        <v>40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218</v>
      </c>
      <c r="G499" s="761"/>
      <c r="H499" s="622" t="s">
        <v>46</v>
      </c>
      <c r="I499" s="269"/>
      <c r="J499" s="214">
        <v>40</v>
      </c>
      <c r="K499" s="497"/>
      <c r="L499" s="497"/>
      <c r="M499" s="497"/>
      <c r="N499" s="497"/>
      <c r="O499" s="497"/>
      <c r="P499" s="497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219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>J516</f>
        <v>0</v>
      </c>
      <c r="K500" s="633">
        <f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220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>J517</f>
        <v>0</v>
      </c>
      <c r="K501" s="642">
        <f>IF(I501&gt;0,J501*100/I501,0)</f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92" t="s">
        <v>17</v>
      </c>
      <c r="E502" s="888"/>
      <c r="F502" s="888"/>
      <c r="G502" s="602"/>
      <c r="H502" s="645" t="s">
        <v>12</v>
      </c>
      <c r="I502" s="616"/>
      <c r="J502" s="616"/>
      <c r="K502" s="92"/>
      <c r="L502" s="646">
        <f>L503+L504</f>
        <v>0</v>
      </c>
      <c r="M502" s="646">
        <f>M503+M504</f>
        <v>0</v>
      </c>
      <c r="N502" s="646">
        <f>N503+N504</f>
        <v>0</v>
      </c>
      <c r="O502" s="646">
        <f t="shared" ref="O502:O507" si="81">IF(L502&gt;0,N502*100/L502,0)</f>
        <v>0</v>
      </c>
      <c r="P502" s="646">
        <f t="shared" ref="P502:P507" si="82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184</v>
      </c>
      <c r="F503" s="758"/>
      <c r="G503" s="602"/>
      <c r="H503" s="164" t="s">
        <v>12</v>
      </c>
      <c r="I503" s="616"/>
      <c r="J503" s="616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185</v>
      </c>
      <c r="F504" s="758"/>
      <c r="G504" s="602"/>
      <c r="H504" s="164" t="s">
        <v>12</v>
      </c>
      <c r="I504" s="616"/>
      <c r="J504" s="616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184</v>
      </c>
      <c r="F506" s="758"/>
      <c r="G506" s="602"/>
      <c r="H506" s="164" t="s">
        <v>12</v>
      </c>
      <c r="I506" s="616"/>
      <c r="J506" s="616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185</v>
      </c>
      <c r="F507" s="758"/>
      <c r="G507" s="602"/>
      <c r="H507" s="164" t="s">
        <v>12</v>
      </c>
      <c r="I507" s="616"/>
      <c r="J507" s="616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186</v>
      </c>
      <c r="G508" s="602"/>
      <c r="H508" s="164" t="s">
        <v>12</v>
      </c>
      <c r="I508" s="616"/>
      <c r="J508" s="616"/>
      <c r="K508" s="92"/>
      <c r="L508" s="92"/>
      <c r="M508" s="92"/>
      <c r="N508" s="92">
        <v>0</v>
      </c>
      <c r="O508" s="92"/>
      <c r="P508" s="92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187</v>
      </c>
      <c r="G509" s="602"/>
      <c r="H509" s="164" t="s">
        <v>12</v>
      </c>
      <c r="I509" s="616"/>
      <c r="J509" s="616"/>
      <c r="K509" s="92"/>
      <c r="L509" s="92"/>
      <c r="M509" s="92"/>
      <c r="N509" s="92">
        <v>0</v>
      </c>
      <c r="O509" s="92"/>
      <c r="P509" s="92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188</v>
      </c>
      <c r="G510" s="602"/>
      <c r="H510" s="164" t="s">
        <v>12</v>
      </c>
      <c r="I510" s="616"/>
      <c r="J510" s="616"/>
      <c r="K510" s="92"/>
      <c r="L510" s="92"/>
      <c r="M510" s="92"/>
      <c r="N510" s="92">
        <v>0</v>
      </c>
      <c r="O510" s="92"/>
      <c r="P510" s="92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189</v>
      </c>
      <c r="G511" s="602"/>
      <c r="H511" s="164" t="s">
        <v>12</v>
      </c>
      <c r="I511" s="616"/>
      <c r="J511" s="616"/>
      <c r="K511" s="92"/>
      <c r="L511" s="92"/>
      <c r="M511" s="92"/>
      <c r="N511" s="92">
        <v>0</v>
      </c>
      <c r="O511" s="92"/>
      <c r="P511" s="92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42" t="s">
        <v>38</v>
      </c>
      <c r="E515" s="650"/>
      <c r="F515" s="650"/>
      <c r="G515" s="651"/>
      <c r="H515" s="365"/>
      <c r="I515" s="165"/>
      <c r="J515" s="165"/>
      <c r="K515" s="166"/>
      <c r="L515" s="166"/>
      <c r="M515" s="166"/>
      <c r="N515" s="166"/>
      <c r="O515" s="166"/>
      <c r="P515" s="166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221</v>
      </c>
      <c r="E516" s="719"/>
      <c r="F516" s="719"/>
      <c r="G516" s="365"/>
      <c r="H516" s="652" t="s">
        <v>109</v>
      </c>
      <c r="I516" s="616"/>
      <c r="J516" s="616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222</v>
      </c>
      <c r="E517" s="719"/>
      <c r="F517" s="719"/>
      <c r="G517" s="365"/>
      <c r="H517" s="653" t="s">
        <v>35</v>
      </c>
      <c r="I517" s="654"/>
      <c r="J517" s="654">
        <f>J518+J519</f>
        <v>0</v>
      </c>
      <c r="K517" s="655">
        <f>IF(I517&gt;0,J517*100/I517,0)</f>
        <v>0</v>
      </c>
      <c r="L517" s="166"/>
      <c r="M517" s="166"/>
      <c r="N517" s="166"/>
      <c r="O517" s="166"/>
      <c r="P517" s="166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223</v>
      </c>
      <c r="F518" s="719"/>
      <c r="G518" s="365"/>
      <c r="H518" s="369" t="s">
        <v>35</v>
      </c>
      <c r="I518" s="616"/>
      <c r="J518" s="616"/>
      <c r="K518" s="166"/>
      <c r="L518" s="166"/>
      <c r="M518" s="166"/>
      <c r="N518" s="166"/>
      <c r="O518" s="166"/>
      <c r="P518" s="166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224</v>
      </c>
      <c r="F519" s="719"/>
      <c r="G519" s="365"/>
      <c r="H519" s="652" t="s">
        <v>35</v>
      </c>
      <c r="I519" s="616"/>
      <c r="J519" s="616"/>
      <c r="K519" s="166"/>
      <c r="L519" s="166"/>
      <c r="M519" s="166"/>
      <c r="N519" s="166"/>
      <c r="O519" s="166"/>
      <c r="P519" s="166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225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226</v>
      </c>
      <c r="C522" s="672"/>
      <c r="D522" s="672"/>
      <c r="E522" s="672"/>
      <c r="F522" s="672"/>
      <c r="G522" s="673"/>
      <c r="H522" s="674" t="s">
        <v>35</v>
      </c>
      <c r="I522" s="707">
        <f ca="1">I537</f>
        <v>0</v>
      </c>
      <c r="J522" s="707">
        <f ca="1">J537</f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87" t="s">
        <v>17</v>
      </c>
      <c r="E523" s="888"/>
      <c r="F523" s="888"/>
      <c r="G523" s="188"/>
      <c r="H523" s="597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184</v>
      </c>
      <c r="F524" s="758"/>
      <c r="G524" s="602"/>
      <c r="H524" s="164" t="s">
        <v>12</v>
      </c>
      <c r="I524" s="616"/>
      <c r="J524" s="616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185</v>
      </c>
      <c r="F525" s="758"/>
      <c r="G525" s="602"/>
      <c r="H525" s="164" t="s">
        <v>12</v>
      </c>
      <c r="I525" s="616"/>
      <c r="J525" s="616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184</v>
      </c>
      <c r="F527" s="758"/>
      <c r="G527" s="602"/>
      <c r="H527" s="164" t="s">
        <v>12</v>
      </c>
      <c r="I527" s="616"/>
      <c r="J527" s="616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185</v>
      </c>
      <c r="F528" s="758"/>
      <c r="G528" s="602"/>
      <c r="H528" s="164" t="s">
        <v>12</v>
      </c>
      <c r="I528" s="616"/>
      <c r="J528" s="616"/>
      <c r="K528" s="92"/>
      <c r="L528" s="92">
        <f ca="1">IFERROR(__xludf.DUMMYFUNCTION("IMPORTRANGE(""https://docs.google.com/spreadsheets/d/1QqKyyYR6Q21VydFLVH3TRQUabQu_ym0Zz7PgGX0-kHA/edit?usp=sharing"",""แผน!GQ77"")"),0)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826">
        <v>0</v>
      </c>
      <c r="O529" s="497"/>
      <c r="P529" s="497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826">
        <v>0</v>
      </c>
      <c r="O530" s="497"/>
      <c r="P530" s="497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826">
        <v>0</v>
      </c>
      <c r="O531" s="497"/>
      <c r="P531" s="497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826">
        <v>0</v>
      </c>
      <c r="O532" s="497"/>
      <c r="P532" s="497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IFERROR(__xludf.DUMMYFUNCTION("IMPORTRANGE(""https://docs.google.com/spreadsheets/d/1QqKyyYR6Q21VydFLVH3TRQUabQu_ym0Zz7PgGX0-kHA/edit?usp=sharing"",""แผน!GT77"")"),0)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41" t="s">
        <v>38</v>
      </c>
      <c r="E536" s="760"/>
      <c r="F536" s="760"/>
      <c r="G536" s="612"/>
      <c r="H536" s="761"/>
      <c r="I536" s="183"/>
      <c r="J536" s="183"/>
      <c r="K536" s="162"/>
      <c r="L536" s="162"/>
      <c r="M536" s="162"/>
      <c r="N536" s="162"/>
      <c r="O536" s="162"/>
      <c r="P536" s="162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227</v>
      </c>
      <c r="E537" s="762"/>
      <c r="F537" s="762"/>
      <c r="G537" s="188"/>
      <c r="H537" s="622" t="s">
        <v>35</v>
      </c>
      <c r="I537" s="680">
        <f ca="1">IFERROR(__xludf.DUMMYFUNCTION("IMPORTRANGE(""https://docs.google.com/spreadsheets/d/1QqKyyYR6Q21VydFLVH3TRQUabQu_ym0Zz7PgGX0-kHA/edit?usp=sharing"",""แผน!GU77"")"),0)</f>
        <v>0</v>
      </c>
      <c r="J537" s="680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228</v>
      </c>
      <c r="F538" s="762"/>
      <c r="G538" s="188"/>
      <c r="H538" s="622" t="s">
        <v>35</v>
      </c>
      <c r="I538" s="269">
        <f ca="1">IFERROR(__xludf.DUMMYFUNCTION("IMPORTRANGE(""https://docs.google.com/spreadsheets/d/1QqKyyYR6Q21VydFLVH3TRQUabQu_ym0Zz7PgGX0-kHA/edit?usp=sharing"",""แผน!GV77"")"),0)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229</v>
      </c>
      <c r="F539" s="762"/>
      <c r="G539" s="188"/>
      <c r="H539" s="622" t="s">
        <v>35</v>
      </c>
      <c r="I539" s="269">
        <f ca="1">IFERROR(__xludf.DUMMYFUNCTION("IMPORTRANGE(""https://docs.google.com/spreadsheets/d/1QqKyyYR6Q21VydFLVH3TRQUabQu_ym0Zz7PgGX0-kHA/edit?usp=sharing"",""แผน!GW77"")"),0)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230</v>
      </c>
      <c r="F540" s="762"/>
      <c r="G540" s="188"/>
      <c r="H540" s="622" t="s">
        <v>35</v>
      </c>
      <c r="I540" s="269">
        <f ca="1">IFERROR(__xludf.DUMMYFUNCTION("IMPORTRANGE(""https://docs.google.com/spreadsheets/d/1QqKyyYR6Q21VydFLVH3TRQUabQu_ym0Zz7PgGX0-kHA/edit?usp=sharing"",""แผน!GX77"")"),0)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231</v>
      </c>
      <c r="F541" s="762"/>
      <c r="G541" s="188"/>
      <c r="H541" s="622" t="s">
        <v>35</v>
      </c>
      <c r="I541" s="269">
        <f ca="1">IFERROR(__xludf.DUMMYFUNCTION("IMPORTRANGE(""https://docs.google.com/spreadsheets/d/1QqKyyYR6Q21VydFLVH3TRQUabQu_ym0Zz7PgGX0-kHA/edit?usp=sharing"",""แผน!GY77"")"),0)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8"/>
      <c r="H542" s="622" t="s">
        <v>35</v>
      </c>
      <c r="I542" s="269">
        <f ca="1">IFERROR(__xludf.DUMMYFUNCTION("IMPORTRANGE(""https://docs.google.com/spreadsheets/d/1QqKyyYR6Q21VydFLVH3TRQUabQu_ym0Zz7PgGX0-kHA/edit?usp=sharing"",""แผน!GZ77"")"),0)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232</v>
      </c>
      <c r="C543" s="666"/>
      <c r="D543" s="666"/>
      <c r="E543" s="666"/>
      <c r="F543" s="666"/>
      <c r="G543" s="667"/>
      <c r="H543" s="685" t="s">
        <v>46</v>
      </c>
      <c r="I543" s="686">
        <f ca="1">I559</f>
        <v>28605.145</v>
      </c>
      <c r="J543" s="686">
        <f>J559</f>
        <v>28605.145</v>
      </c>
      <c r="K543" s="687">
        <f t="shared" ca="1" si="87"/>
        <v>100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911" t="s">
        <v>17</v>
      </c>
      <c r="E544" s="890"/>
      <c r="F544" s="890"/>
      <c r="G544" s="690"/>
      <c r="H544" s="274" t="s">
        <v>12</v>
      </c>
      <c r="I544" s="420"/>
      <c r="J544" s="420"/>
      <c r="K544" s="153"/>
      <c r="L544" s="154">
        <f ca="1">L545+L546</f>
        <v>350329</v>
      </c>
      <c r="M544" s="154">
        <f ca="1">M545+M546</f>
        <v>320589.15999999997</v>
      </c>
      <c r="N544" s="154">
        <f>N545+N546</f>
        <v>320589.16000000003</v>
      </c>
      <c r="O544" s="154">
        <f t="shared" ref="O544:O549" ca="1" si="88">IF(L544&gt;0,N544*100/L544,0)</f>
        <v>91.510882627473038</v>
      </c>
      <c r="P544" s="154">
        <f t="shared" ref="P544:P549" ca="1" si="89">IF(M544&gt;0,N544*100/M544,0)</f>
        <v>100.00000000000001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184</v>
      </c>
      <c r="F545" s="758"/>
      <c r="G545" s="602"/>
      <c r="H545" s="164" t="s">
        <v>12</v>
      </c>
      <c r="I545" s="616"/>
      <c r="J545" s="616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185</v>
      </c>
      <c r="F546" s="758"/>
      <c r="G546" s="602"/>
      <c r="H546" s="164" t="s">
        <v>12</v>
      </c>
      <c r="I546" s="616"/>
      <c r="J546" s="616"/>
      <c r="K546" s="92"/>
      <c r="L546" s="92">
        <f ca="1">L549+L557</f>
        <v>350329</v>
      </c>
      <c r="M546" s="92">
        <f ca="1">M549+M556</f>
        <v>320589.15999999997</v>
      </c>
      <c r="N546" s="92">
        <f>N549+N556</f>
        <v>320589.16000000003</v>
      </c>
      <c r="O546" s="92">
        <f t="shared" ca="1" si="88"/>
        <v>91.510882627473038</v>
      </c>
      <c r="P546" s="92">
        <f t="shared" ca="1" si="89"/>
        <v>100.00000000000001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8"/>
      <c r="H547" s="160" t="s">
        <v>12</v>
      </c>
      <c r="I547" s="183"/>
      <c r="J547" s="183"/>
      <c r="K547" s="162"/>
      <c r="L547" s="497">
        <f ca="1">L548+L549</f>
        <v>350329</v>
      </c>
      <c r="M547" s="497">
        <f ca="1">M548+M549</f>
        <v>320589.15999999997</v>
      </c>
      <c r="N547" s="497">
        <f>N548+N549</f>
        <v>320589.16000000003</v>
      </c>
      <c r="O547" s="497">
        <f t="shared" ca="1" si="88"/>
        <v>91.510882627473038</v>
      </c>
      <c r="P547" s="497">
        <f t="shared" ca="1" si="89"/>
        <v>100.00000000000001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184</v>
      </c>
      <c r="F548" s="758"/>
      <c r="G548" s="602"/>
      <c r="H548" s="164" t="s">
        <v>12</v>
      </c>
      <c r="I548" s="616"/>
      <c r="J548" s="616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185</v>
      </c>
      <c r="F549" s="758"/>
      <c r="G549" s="602"/>
      <c r="H549" s="164" t="s">
        <v>12</v>
      </c>
      <c r="I549" s="616"/>
      <c r="J549" s="616"/>
      <c r="K549" s="92"/>
      <c r="L549" s="92">
        <f ca="1">IFERROR(__xludf.DUMMYFUNCTION("IMPORTRANGE(""https://docs.google.com/spreadsheets/d/1QqKyyYR6Q21VydFLVH3TRQUabQu_ym0Zz7PgGX0-kHA/edit?usp=sharing"",""แผน!HB77"")"),350329)</f>
        <v>350329</v>
      </c>
      <c r="M549" s="92">
        <f ca="1">L549-29739.84</f>
        <v>320589.15999999997</v>
      </c>
      <c r="N549" s="92">
        <f>N550+N551+N552+N553+N554</f>
        <v>320589.16000000003</v>
      </c>
      <c r="O549" s="92">
        <f t="shared" ca="1" si="88"/>
        <v>91.510882627473038</v>
      </c>
      <c r="P549" s="92">
        <f t="shared" ca="1" si="89"/>
        <v>100.00000000000001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826">
        <v>0</v>
      </c>
      <c r="O550" s="497"/>
      <c r="P550" s="497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826">
        <v>0</v>
      </c>
      <c r="O551" s="497"/>
      <c r="P551" s="497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826">
        <v>140616.68</v>
      </c>
      <c r="O552" s="497"/>
      <c r="P552" s="497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826">
        <v>179972.48000000001</v>
      </c>
      <c r="O553" s="497"/>
      <c r="P553" s="497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826">
        <v>0</v>
      </c>
      <c r="O554" s="497"/>
      <c r="P554" s="497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IFERROR(__xludf.DUMMYFUNCTION("IMPORTRANGE(""https://docs.google.com/spreadsheets/d/1QqKyyYR6Q21VydFLVH3TRQUabQu_ym0Zz7PgGX0-kHA/edit?usp=sharing"",""แผน!HF77"")"),0)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41" t="s">
        <v>38</v>
      </c>
      <c r="E558" s="760"/>
      <c r="F558" s="760"/>
      <c r="G558" s="612"/>
      <c r="H558" s="761"/>
      <c r="I558" s="183"/>
      <c r="J558" s="183"/>
      <c r="K558" s="162"/>
      <c r="L558" s="162"/>
      <c r="M558" s="162"/>
      <c r="N558" s="162"/>
      <c r="O558" s="162"/>
      <c r="P558" s="162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234</v>
      </c>
      <c r="C559" s="693"/>
      <c r="D559" s="693"/>
      <c r="E559" s="672"/>
      <c r="F559" s="672"/>
      <c r="G559" s="673"/>
      <c r="H559" s="694" t="s">
        <v>46</v>
      </c>
      <c r="I559" s="707">
        <f ca="1">I576</f>
        <v>28605.145</v>
      </c>
      <c r="J559" s="707">
        <f>J576</f>
        <v>28605.145</v>
      </c>
      <c r="K559" s="676">
        <f ca="1">IF(I559&gt;0,J559*100/I559,0)</f>
        <v>100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235</v>
      </c>
      <c r="D560" s="617"/>
      <c r="E560" s="625"/>
      <c r="F560" s="625"/>
      <c r="G560" s="761"/>
      <c r="H560" s="766" t="s">
        <v>46</v>
      </c>
      <c r="I560" s="192">
        <f ca="1">IFERROR(__xludf.DUMMYFUNCTION("IMPORTRANGE(""https://docs.google.com/spreadsheets/d/1QqKyyYR6Q21VydFLVH3TRQUabQu_ym0Zz7PgGX0-kHA/edit?usp=sharing"",""แผน!HH77"")"),28605.145)</f>
        <v>28605.145</v>
      </c>
      <c r="J560" s="192">
        <f>J562+J564+J566</f>
        <v>28605.34</v>
      </c>
      <c r="K560" s="411">
        <f ca="1">IF(I560&gt;0,J560*100/I560,0)</f>
        <v>100.00068169554812</v>
      </c>
      <c r="L560" s="162"/>
      <c r="M560" s="162"/>
      <c r="N560" s="162"/>
      <c r="O560" s="162"/>
      <c r="P560" s="162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2">
        <f ca="1">IFERROR(__xludf.DUMMYFUNCTION("IMPORTRANGE(""https://docs.google.com/spreadsheets/d/1QqKyyYR6Q21VydFLVH3TRQUabQu_ym0Zz7PgGX0-kHA/edit?usp=sharing"",""แผน!HG77"")"),3927)</f>
        <v>3927</v>
      </c>
      <c r="J561" s="192">
        <f>J563+J565+J567</f>
        <v>3927</v>
      </c>
      <c r="K561" s="411">
        <f ca="1">IF(I561&gt;0,J561*100/I561,0)</f>
        <v>100</v>
      </c>
      <c r="L561" s="162"/>
      <c r="M561" s="162"/>
      <c r="N561" s="162"/>
      <c r="O561" s="162"/>
      <c r="P561" s="162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236</v>
      </c>
      <c r="E562" s="625"/>
      <c r="F562" s="625"/>
      <c r="G562" s="761"/>
      <c r="H562" s="763" t="s">
        <v>46</v>
      </c>
      <c r="I562" s="183"/>
      <c r="J562" s="214">
        <v>24700</v>
      </c>
      <c r="K562" s="162"/>
      <c r="L562" s="162"/>
      <c r="M562" s="162"/>
      <c r="N562" s="162"/>
      <c r="O562" s="162"/>
      <c r="P562" s="162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3"/>
      <c r="J563" s="214">
        <v>3423</v>
      </c>
      <c r="K563" s="162"/>
      <c r="L563" s="162"/>
      <c r="M563" s="162"/>
      <c r="N563" s="162"/>
      <c r="O563" s="162"/>
      <c r="P563" s="162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237</v>
      </c>
      <c r="E564" s="625"/>
      <c r="F564" s="625"/>
      <c r="G564" s="761"/>
      <c r="H564" s="763" t="s">
        <v>46</v>
      </c>
      <c r="I564" s="183"/>
      <c r="J564" s="214">
        <v>2580</v>
      </c>
      <c r="K564" s="162"/>
      <c r="L564" s="162"/>
      <c r="M564" s="162"/>
      <c r="N564" s="162"/>
      <c r="O564" s="162"/>
      <c r="P564" s="162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3"/>
      <c r="J565" s="214">
        <v>343</v>
      </c>
      <c r="K565" s="162"/>
      <c r="L565" s="162"/>
      <c r="M565" s="162"/>
      <c r="N565" s="162"/>
      <c r="O565" s="162"/>
      <c r="P565" s="162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238</v>
      </c>
      <c r="E566" s="625"/>
      <c r="F566" s="625"/>
      <c r="G566" s="761"/>
      <c r="H566" s="763" t="s">
        <v>46</v>
      </c>
      <c r="I566" s="183"/>
      <c r="J566" s="214">
        <v>1325.34</v>
      </c>
      <c r="K566" s="162"/>
      <c r="L566" s="162"/>
      <c r="M566" s="162"/>
      <c r="N566" s="162"/>
      <c r="O566" s="162"/>
      <c r="P566" s="162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3"/>
      <c r="J567" s="214">
        <v>161</v>
      </c>
      <c r="K567" s="162"/>
      <c r="L567" s="162"/>
      <c r="M567" s="162"/>
      <c r="N567" s="162"/>
      <c r="O567" s="162"/>
      <c r="P567" s="162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239</v>
      </c>
      <c r="D568" s="625"/>
      <c r="E568" s="625"/>
      <c r="F568" s="625"/>
      <c r="G568" s="761"/>
      <c r="H568" s="766" t="s">
        <v>46</v>
      </c>
      <c r="I568" s="192">
        <f ca="1">IFERROR(__xludf.DUMMYFUNCTION("IMPORTRANGE(""https://docs.google.com/spreadsheets/d/1QqKyyYR6Q21VydFLVH3TRQUabQu_ym0Zz7PgGX0-kHA/edit?usp=sharing"",""แผน!HH77"")"),28605.145)</f>
        <v>28605.145</v>
      </c>
      <c r="J568" s="680">
        <f>J570+J572+J574</f>
        <v>28605</v>
      </c>
      <c r="K568" s="411">
        <f ca="1">IF(I568&gt;0,J568*100/I568,0)</f>
        <v>99.999493098182157</v>
      </c>
      <c r="L568" s="162"/>
      <c r="M568" s="162"/>
      <c r="N568" s="162"/>
      <c r="O568" s="162"/>
      <c r="P568" s="162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2">
        <f ca="1">IFERROR(__xludf.DUMMYFUNCTION("IMPORTRANGE(""https://docs.google.com/spreadsheets/d/1QqKyyYR6Q21VydFLVH3TRQUabQu_ym0Zz7PgGX0-kHA/edit?usp=sharing"",""แผน!HG77"")"),3927)</f>
        <v>3927</v>
      </c>
      <c r="J569" s="680">
        <f>J571+J573+J575</f>
        <v>3927</v>
      </c>
      <c r="K569" s="411">
        <f ca="1">IF(I569&gt;0,J569*100/I569,0)</f>
        <v>100</v>
      </c>
      <c r="L569" s="162"/>
      <c r="M569" s="162"/>
      <c r="N569" s="162"/>
      <c r="O569" s="162"/>
      <c r="P569" s="162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240</v>
      </c>
      <c r="E570" s="617"/>
      <c r="F570" s="625"/>
      <c r="G570" s="761"/>
      <c r="H570" s="763" t="s">
        <v>46</v>
      </c>
      <c r="I570" s="183"/>
      <c r="J570" s="214">
        <v>24700</v>
      </c>
      <c r="K570" s="162"/>
      <c r="L570" s="162"/>
      <c r="M570" s="162"/>
      <c r="N570" s="162"/>
      <c r="O570" s="162"/>
      <c r="P570" s="162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3"/>
      <c r="J571" s="214">
        <v>3423</v>
      </c>
      <c r="K571" s="162"/>
      <c r="L571" s="162"/>
      <c r="M571" s="162"/>
      <c r="N571" s="162"/>
      <c r="O571" s="162"/>
      <c r="P571" s="162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241</v>
      </c>
      <c r="E572" s="625"/>
      <c r="F572" s="625"/>
      <c r="G572" s="761"/>
      <c r="H572" s="763" t="s">
        <v>46</v>
      </c>
      <c r="I572" s="183"/>
      <c r="J572" s="214">
        <v>2580</v>
      </c>
      <c r="K572" s="162"/>
      <c r="L572" s="162"/>
      <c r="M572" s="162"/>
      <c r="N572" s="162"/>
      <c r="O572" s="162"/>
      <c r="P572" s="162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3"/>
      <c r="J573" s="214">
        <v>343</v>
      </c>
      <c r="K573" s="162"/>
      <c r="L573" s="162"/>
      <c r="M573" s="162"/>
      <c r="N573" s="162"/>
      <c r="O573" s="162"/>
      <c r="P573" s="162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242</v>
      </c>
      <c r="E574" s="625"/>
      <c r="F574" s="625"/>
      <c r="G574" s="761"/>
      <c r="H574" s="763" t="s">
        <v>46</v>
      </c>
      <c r="I574" s="183"/>
      <c r="J574" s="214">
        <v>1325</v>
      </c>
      <c r="K574" s="162"/>
      <c r="L574" s="162"/>
      <c r="M574" s="162"/>
      <c r="N574" s="162"/>
      <c r="O574" s="162"/>
      <c r="P574" s="162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3"/>
      <c r="J575" s="214">
        <v>161</v>
      </c>
      <c r="K575" s="162"/>
      <c r="L575" s="162"/>
      <c r="M575" s="162"/>
      <c r="N575" s="162"/>
      <c r="O575" s="162"/>
      <c r="P575" s="162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243</v>
      </c>
      <c r="D576" s="617"/>
      <c r="E576" s="617"/>
      <c r="F576" s="625"/>
      <c r="G576" s="761"/>
      <c r="H576" s="766" t="s">
        <v>46</v>
      </c>
      <c r="I576" s="192">
        <f ca="1">IFERROR(__xludf.DUMMYFUNCTION("IMPORTRANGE(""https://docs.google.com/spreadsheets/d/1QqKyyYR6Q21VydFLVH3TRQUabQu_ym0Zz7PgGX0-kHA/edit?usp=sharing"",""แผน!HH77"")"),28605.145)</f>
        <v>28605.145</v>
      </c>
      <c r="J576" s="680">
        <f>J578+J580+J582+J588+J590</f>
        <v>28605.145</v>
      </c>
      <c r="K576" s="411">
        <f ca="1">IF(I576&gt;0,J576*100/I576,0)</f>
        <v>100</v>
      </c>
      <c r="L576" s="162"/>
      <c r="M576" s="162"/>
      <c r="N576" s="162"/>
      <c r="O576" s="162"/>
      <c r="P576" s="162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2">
        <f ca="1">IFERROR(__xludf.DUMMYFUNCTION("IMPORTRANGE(""https://docs.google.com/spreadsheets/d/1QqKyyYR6Q21VydFLVH3TRQUabQu_ym0Zz7PgGX0-kHA/edit?usp=sharing"",""แผน!HG77"")"),3927)</f>
        <v>3927</v>
      </c>
      <c r="J577" s="680">
        <f>J579+J581+J583+J589+J591</f>
        <v>3927</v>
      </c>
      <c r="K577" s="411">
        <f ca="1">IF(I577&gt;0,J577*100/I577,0)</f>
        <v>100</v>
      </c>
      <c r="L577" s="162"/>
      <c r="M577" s="162"/>
      <c r="N577" s="162"/>
      <c r="O577" s="162"/>
      <c r="P577" s="162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244</v>
      </c>
      <c r="E578" s="625"/>
      <c r="F578" s="625"/>
      <c r="G578" s="761"/>
      <c r="H578" s="763" t="s">
        <v>46</v>
      </c>
      <c r="I578" s="183"/>
      <c r="J578" s="214">
        <v>25911.9025</v>
      </c>
      <c r="K578" s="162"/>
      <c r="L578" s="162"/>
      <c r="M578" s="162"/>
      <c r="N578" s="162"/>
      <c r="O578" s="162"/>
      <c r="P578" s="162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3"/>
      <c r="J579" s="214">
        <v>3587</v>
      </c>
      <c r="K579" s="162"/>
      <c r="L579" s="162"/>
      <c r="M579" s="162"/>
      <c r="N579" s="162"/>
      <c r="O579" s="162"/>
      <c r="P579" s="162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245</v>
      </c>
      <c r="E580" s="625"/>
      <c r="F580" s="625"/>
      <c r="G580" s="761"/>
      <c r="H580" s="763" t="s">
        <v>46</v>
      </c>
      <c r="I580" s="183"/>
      <c r="J580" s="214">
        <v>26.58</v>
      </c>
      <c r="K580" s="162"/>
      <c r="L580" s="162"/>
      <c r="M580" s="162"/>
      <c r="N580" s="162"/>
      <c r="O580" s="162"/>
      <c r="P580" s="162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3"/>
      <c r="J581" s="214">
        <v>2</v>
      </c>
      <c r="K581" s="162"/>
      <c r="L581" s="162"/>
      <c r="M581" s="162"/>
      <c r="N581" s="162"/>
      <c r="O581" s="162"/>
      <c r="P581" s="162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246</v>
      </c>
      <c r="E582" s="625"/>
      <c r="F582" s="625"/>
      <c r="G582" s="761"/>
      <c r="H582" s="763" t="s">
        <v>46</v>
      </c>
      <c r="I582" s="183"/>
      <c r="J582" s="680">
        <f>J584+J586</f>
        <v>1401.8475000000001</v>
      </c>
      <c r="K582" s="411"/>
      <c r="L582" s="162"/>
      <c r="M582" s="162"/>
      <c r="N582" s="162"/>
      <c r="O582" s="162"/>
      <c r="P582" s="162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3"/>
      <c r="J583" s="680">
        <f>J585+J587</f>
        <v>170</v>
      </c>
      <c r="K583" s="411"/>
      <c r="L583" s="162"/>
      <c r="M583" s="162"/>
      <c r="N583" s="162"/>
      <c r="O583" s="162"/>
      <c r="P583" s="162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247</v>
      </c>
      <c r="F584" s="625"/>
      <c r="G584" s="761"/>
      <c r="H584" s="763" t="s">
        <v>46</v>
      </c>
      <c r="I584" s="183"/>
      <c r="J584" s="214">
        <v>1401.8475000000001</v>
      </c>
      <c r="K584" s="162"/>
      <c r="L584" s="162"/>
      <c r="M584" s="162"/>
      <c r="N584" s="162"/>
      <c r="O584" s="162"/>
      <c r="P584" s="162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3"/>
      <c r="J585" s="214">
        <v>170</v>
      </c>
      <c r="K585" s="162"/>
      <c r="L585" s="162"/>
      <c r="M585" s="162"/>
      <c r="N585" s="162"/>
      <c r="O585" s="162"/>
      <c r="P585" s="162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248</v>
      </c>
      <c r="F586" s="625"/>
      <c r="G586" s="761"/>
      <c r="H586" s="763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249</v>
      </c>
      <c r="E588" s="625"/>
      <c r="F588" s="625"/>
      <c r="G588" s="761"/>
      <c r="H588" s="763" t="s">
        <v>46</v>
      </c>
      <c r="I588" s="183"/>
      <c r="J588" s="214">
        <v>1264.8150000000001</v>
      </c>
      <c r="K588" s="162"/>
      <c r="L588" s="162"/>
      <c r="M588" s="162"/>
      <c r="N588" s="162"/>
      <c r="O588" s="162"/>
      <c r="P588" s="162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3"/>
      <c r="J589" s="214">
        <v>168</v>
      </c>
      <c r="K589" s="162"/>
      <c r="L589" s="162"/>
      <c r="M589" s="162"/>
      <c r="N589" s="162"/>
      <c r="O589" s="162"/>
      <c r="P589" s="162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250</v>
      </c>
      <c r="E590" s="625"/>
      <c r="F590" s="625"/>
      <c r="G590" s="761"/>
      <c r="H590" s="763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251</v>
      </c>
      <c r="C592" s="693"/>
      <c r="D592" s="693"/>
      <c r="E592" s="672"/>
      <c r="F592" s="672"/>
      <c r="G592" s="673"/>
      <c r="H592" s="694" t="s">
        <v>46</v>
      </c>
      <c r="I592" s="702">
        <f ca="1">I593</f>
        <v>1717.29</v>
      </c>
      <c r="J592" s="707">
        <f>J593</f>
        <v>1368.81</v>
      </c>
      <c r="K592" s="676">
        <f ca="1">IF(I592&gt;0,J592*100/I592,0)</f>
        <v>79.707562496724492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252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IFERROR(__xludf.DUMMYFUNCTION("IMPORTRANGE(""https://docs.google.com/spreadsheets/d/1QqKyyYR6Q21VydFLVH3TRQUabQu_ym0Zz7PgGX0-kHA/edit?usp=sharing"",""แผน!HJ77"")"),1717.29)</f>
        <v>1717.29</v>
      </c>
      <c r="J593" s="192">
        <f>J595+J603+J609</f>
        <v>1368.81</v>
      </c>
      <c r="K593" s="411">
        <f ca="1">IF(I593&gt;0,J593*100/I593,0)</f>
        <v>79.707562496724492</v>
      </c>
      <c r="L593" s="162"/>
      <c r="M593" s="162"/>
      <c r="N593" s="162"/>
      <c r="O593" s="162"/>
      <c r="P593" s="162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2">
        <f ca="1">IFERROR(__xludf.DUMMYFUNCTION("IMPORTRANGE(""https://docs.google.com/spreadsheets/d/1QqKyyYR6Q21VydFLVH3TRQUabQu_ym0Zz7PgGX0-kHA/edit?usp=sharing"",""แผน!HI77"")"),137)</f>
        <v>137</v>
      </c>
      <c r="J594" s="192">
        <f>J596+J604+J610</f>
        <v>107</v>
      </c>
      <c r="K594" s="411">
        <f ca="1">IF(I594&gt;0,J594*100/I594,0)</f>
        <v>78.102189781021892</v>
      </c>
      <c r="L594" s="162"/>
      <c r="M594" s="162"/>
      <c r="N594" s="162"/>
      <c r="O594" s="162"/>
      <c r="P594" s="162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253</v>
      </c>
      <c r="D595" s="617"/>
      <c r="E595" s="617"/>
      <c r="F595" s="625"/>
      <c r="G595" s="761"/>
      <c r="H595" s="763" t="s">
        <v>46</v>
      </c>
      <c r="I595" s="183"/>
      <c r="J595" s="183">
        <f>J597+J599</f>
        <v>1326.81</v>
      </c>
      <c r="K595" s="162"/>
      <c r="L595" s="162"/>
      <c r="M595" s="162"/>
      <c r="N595" s="162"/>
      <c r="O595" s="162"/>
      <c r="P595" s="162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3"/>
      <c r="J596" s="183">
        <f>J598+J600</f>
        <v>104</v>
      </c>
      <c r="K596" s="162"/>
      <c r="L596" s="162"/>
      <c r="M596" s="162"/>
      <c r="N596" s="162"/>
      <c r="O596" s="162"/>
      <c r="P596" s="162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254</v>
      </c>
      <c r="E597" s="625"/>
      <c r="F597" s="625"/>
      <c r="G597" s="761"/>
      <c r="H597" s="763" t="s">
        <v>46</v>
      </c>
      <c r="I597" s="183"/>
      <c r="J597" s="214">
        <v>1326.81</v>
      </c>
      <c r="K597" s="162"/>
      <c r="L597" s="162"/>
      <c r="M597" s="162"/>
      <c r="N597" s="162"/>
      <c r="O597" s="162"/>
      <c r="P597" s="162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69"/>
      <c r="J598" s="214">
        <v>104</v>
      </c>
      <c r="K598" s="162"/>
      <c r="L598" s="162"/>
      <c r="M598" s="162"/>
      <c r="N598" s="162"/>
      <c r="O598" s="162"/>
      <c r="P598" s="162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255</v>
      </c>
      <c r="E599" s="625"/>
      <c r="F599" s="625"/>
      <c r="G599" s="761"/>
      <c r="H599" s="763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256</v>
      </c>
      <c r="E601" s="625"/>
      <c r="F601" s="625"/>
      <c r="G601" s="761"/>
      <c r="H601" s="763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257</v>
      </c>
      <c r="D603" s="617"/>
      <c r="E603" s="617"/>
      <c r="F603" s="625"/>
      <c r="G603" s="761"/>
      <c r="H603" s="763" t="s">
        <v>46</v>
      </c>
      <c r="I603" s="269"/>
      <c r="J603" s="269">
        <f>J605+J607</f>
        <v>42</v>
      </c>
      <c r="K603" s="162"/>
      <c r="L603" s="162"/>
      <c r="M603" s="162"/>
      <c r="N603" s="162"/>
      <c r="O603" s="162"/>
      <c r="P603" s="162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69"/>
      <c r="J604" s="269">
        <f>J606+J608</f>
        <v>3</v>
      </c>
      <c r="K604" s="162"/>
      <c r="L604" s="162"/>
      <c r="M604" s="162"/>
      <c r="N604" s="162"/>
      <c r="O604" s="162"/>
      <c r="P604" s="162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258</v>
      </c>
      <c r="E605" s="625"/>
      <c r="F605" s="625"/>
      <c r="G605" s="761"/>
      <c r="H605" s="763" t="s">
        <v>46</v>
      </c>
      <c r="I605" s="269"/>
      <c r="J605" s="214">
        <v>14</v>
      </c>
      <c r="K605" s="162"/>
      <c r="L605" s="162"/>
      <c r="M605" s="162"/>
      <c r="N605" s="162"/>
      <c r="O605" s="162"/>
      <c r="P605" s="162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69"/>
      <c r="J606" s="214">
        <v>2</v>
      </c>
      <c r="K606" s="162"/>
      <c r="L606" s="162"/>
      <c r="M606" s="162"/>
      <c r="N606" s="162"/>
      <c r="O606" s="162"/>
      <c r="P606" s="162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259</v>
      </c>
      <c r="E607" s="617"/>
      <c r="F607" s="625"/>
      <c r="G607" s="761"/>
      <c r="H607" s="763" t="s">
        <v>46</v>
      </c>
      <c r="I607" s="269"/>
      <c r="J607" s="214">
        <v>28</v>
      </c>
      <c r="K607" s="162"/>
      <c r="L607" s="162"/>
      <c r="M607" s="162"/>
      <c r="N607" s="162"/>
      <c r="O607" s="162"/>
      <c r="P607" s="162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69"/>
      <c r="J608" s="214">
        <v>1</v>
      </c>
      <c r="K608" s="162"/>
      <c r="L608" s="162"/>
      <c r="M608" s="162"/>
      <c r="N608" s="162"/>
      <c r="O608" s="162"/>
      <c r="P608" s="162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260</v>
      </c>
      <c r="D609" s="617"/>
      <c r="E609" s="617"/>
      <c r="F609" s="625"/>
      <c r="G609" s="761"/>
      <c r="H609" s="763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1"/>
      <c r="B611" s="705" t="s">
        <v>261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262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>J614+J616</f>
        <v>0</v>
      </c>
      <c r="K612" s="716">
        <f>IF(I612&gt;0,J612*100/I612,0)</f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263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>J615+J617</f>
        <v>0</v>
      </c>
      <c r="K613" s="716">
        <f>IF(I613&gt;0,J613*100/I613,0)</f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264</v>
      </c>
      <c r="E614" s="615"/>
      <c r="F614" s="719"/>
      <c r="G614" s="365"/>
      <c r="H614" s="369" t="s">
        <v>46</v>
      </c>
      <c r="I614" s="616"/>
      <c r="J614" s="616">
        <v>0</v>
      </c>
      <c r="K614" s="166"/>
      <c r="L614" s="166"/>
      <c r="M614" s="166"/>
      <c r="N614" s="166"/>
      <c r="O614" s="166"/>
      <c r="P614" s="166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5"/>
      <c r="H615" s="369" t="s">
        <v>34</v>
      </c>
      <c r="I615" s="616"/>
      <c r="J615" s="616">
        <v>0</v>
      </c>
      <c r="K615" s="166"/>
      <c r="L615" s="166"/>
      <c r="M615" s="166"/>
      <c r="N615" s="166"/>
      <c r="O615" s="166"/>
      <c r="P615" s="166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264</v>
      </c>
      <c r="E616" s="719"/>
      <c r="F616" s="719"/>
      <c r="G616" s="365"/>
      <c r="H616" s="369" t="s">
        <v>46</v>
      </c>
      <c r="I616" s="616"/>
      <c r="J616" s="616">
        <v>0</v>
      </c>
      <c r="K616" s="166"/>
      <c r="L616" s="166"/>
      <c r="M616" s="166"/>
      <c r="N616" s="166"/>
      <c r="O616" s="166"/>
      <c r="P616" s="166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5"/>
      <c r="H617" s="369" t="s">
        <v>34</v>
      </c>
      <c r="I617" s="616"/>
      <c r="J617" s="616">
        <v>0</v>
      </c>
      <c r="K617" s="166"/>
      <c r="L617" s="166"/>
      <c r="M617" s="166"/>
      <c r="N617" s="166"/>
      <c r="O617" s="166"/>
      <c r="P617" s="166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265</v>
      </c>
      <c r="E618" s="719"/>
      <c r="F618" s="719"/>
      <c r="G618" s="365"/>
      <c r="H618" s="369" t="s">
        <v>46</v>
      </c>
      <c r="I618" s="616"/>
      <c r="J618" s="616">
        <v>0</v>
      </c>
      <c r="K618" s="166"/>
      <c r="L618" s="166"/>
      <c r="M618" s="166"/>
      <c r="N618" s="166"/>
      <c r="O618" s="166"/>
      <c r="P618" s="166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5"/>
      <c r="H619" s="369" t="s">
        <v>34</v>
      </c>
      <c r="I619" s="616"/>
      <c r="J619" s="616">
        <v>0</v>
      </c>
      <c r="K619" s="166"/>
      <c r="L619" s="166"/>
      <c r="M619" s="166"/>
      <c r="N619" s="166"/>
      <c r="O619" s="166"/>
      <c r="P619" s="166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1"/>
      <c r="B620" s="730"/>
      <c r="C620" s="723" t="s">
        <v>266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IFERROR(__xludf.DUMMYFUNCTION("IMPORTRANGE(""https://docs.google.com/spreadsheets/d/1QqKyyYR6Q21VydFLVH3TRQUabQu_ym0Zz7PgGX0-kHA/edit?usp=sharing"",""แผน!HL77"")"),53)</f>
        <v>53</v>
      </c>
      <c r="J620" s="727">
        <f>J622+J624+J626</f>
        <v>53</v>
      </c>
      <c r="K620" s="728">
        <f ca="1">IF(I620&gt;0,J620*100/I620,0)</f>
        <v>100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1"/>
      <c r="B621" s="730"/>
      <c r="C621" s="730" t="s">
        <v>267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IFERROR(__xludf.DUMMYFUNCTION("IMPORTRANGE(""https://docs.google.com/spreadsheets/d/1QqKyyYR6Q21VydFLVH3TRQUabQu_ym0Zz7PgGX0-kHA/edit?usp=sharing"",""แผน!HK77"")"),6)</f>
        <v>6</v>
      </c>
      <c r="J621" s="727">
        <f>J623+J625+J627</f>
        <v>6</v>
      </c>
      <c r="K621" s="728">
        <f ca="1">IF(I621&gt;0,J621*100/I621,0)</f>
        <v>100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5" t="s">
        <v>268</v>
      </c>
      <c r="E622" s="625"/>
      <c r="F622" s="625"/>
      <c r="G622" s="761"/>
      <c r="H622" s="763" t="s">
        <v>46</v>
      </c>
      <c r="I622" s="269"/>
      <c r="J622" s="214">
        <v>53</v>
      </c>
      <c r="K622" s="162"/>
      <c r="L622" s="162"/>
      <c r="M622" s="162"/>
      <c r="N622" s="162"/>
      <c r="O622" s="162"/>
      <c r="P622" s="162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69"/>
      <c r="J623" s="214">
        <v>6</v>
      </c>
      <c r="K623" s="162"/>
      <c r="L623" s="162"/>
      <c r="M623" s="162"/>
      <c r="N623" s="162"/>
      <c r="O623" s="162"/>
      <c r="P623" s="162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5" t="s">
        <v>264</v>
      </c>
      <c r="E624" s="625"/>
      <c r="F624" s="625"/>
      <c r="G624" s="761"/>
      <c r="H624" s="763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5" t="s">
        <v>269</v>
      </c>
      <c r="E626" s="625"/>
      <c r="F626" s="625"/>
      <c r="G626" s="761"/>
      <c r="H626" s="763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1"/>
      <c r="B627" s="732"/>
      <c r="C627" s="732"/>
      <c r="D627" s="732"/>
      <c r="E627" s="733"/>
      <c r="F627" s="733"/>
      <c r="G627" s="734"/>
      <c r="H627" s="422" t="s">
        <v>34</v>
      </c>
      <c r="I627" s="505"/>
      <c r="J627" s="424">
        <v>0</v>
      </c>
      <c r="K627" s="384"/>
      <c r="L627" s="384"/>
      <c r="M627" s="384"/>
      <c r="N627" s="384"/>
      <c r="O627" s="384"/>
      <c r="P627" s="384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270</v>
      </c>
      <c r="C628" s="737"/>
      <c r="D628" s="737"/>
      <c r="E628" s="737"/>
      <c r="F628" s="737"/>
      <c r="G628" s="738"/>
      <c r="H628" s="739" t="s">
        <v>35</v>
      </c>
      <c r="I628" s="740">
        <f ca="1">I651</f>
        <v>0</v>
      </c>
      <c r="J628" s="740">
        <f ca="1">J651</f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87" t="s">
        <v>17</v>
      </c>
      <c r="E629" s="888"/>
      <c r="F629" s="888"/>
      <c r="G629" s="188"/>
      <c r="H629" s="597" t="s">
        <v>12</v>
      </c>
      <c r="I629" s="269"/>
      <c r="J629" s="269"/>
      <c r="K629" s="497"/>
      <c r="L629" s="194">
        <f ca="1">L630+L631</f>
        <v>0</v>
      </c>
      <c r="M629" s="194">
        <f>M630+M631</f>
        <v>0</v>
      </c>
      <c r="N629" s="194">
        <f>N630+N631</f>
        <v>0</v>
      </c>
      <c r="O629" s="194">
        <f t="shared" ref="O629:O634" ca="1" si="90">IF(L629&gt;0,N629*100/L629,0)</f>
        <v>0</v>
      </c>
      <c r="P629" s="194">
        <f t="shared" ref="P629:P634" si="91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184</v>
      </c>
      <c r="F630" s="758"/>
      <c r="G630" s="602"/>
      <c r="H630" s="164" t="s">
        <v>12</v>
      </c>
      <c r="I630" s="616"/>
      <c r="J630" s="616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185</v>
      </c>
      <c r="F631" s="758"/>
      <c r="G631" s="602"/>
      <c r="H631" s="164" t="s">
        <v>12</v>
      </c>
      <c r="I631" s="616"/>
      <c r="J631" s="616"/>
      <c r="K631" s="92"/>
      <c r="L631" s="92">
        <f t="shared" ca="1" si="92"/>
        <v>0</v>
      </c>
      <c r="M631" s="92">
        <f t="shared" si="92"/>
        <v>0</v>
      </c>
      <c r="N631" s="92">
        <f t="shared" si="92"/>
        <v>0</v>
      </c>
      <c r="O631" s="92">
        <f t="shared" ca="1" si="90"/>
        <v>0</v>
      </c>
      <c r="P631" s="92">
        <f t="shared" si="91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8"/>
      <c r="H632" s="160" t="s">
        <v>12</v>
      </c>
      <c r="I632" s="183"/>
      <c r="J632" s="183"/>
      <c r="K632" s="162"/>
      <c r="L632" s="497">
        <f ca="1">L633+L634</f>
        <v>0</v>
      </c>
      <c r="M632" s="497">
        <f>M633+M634</f>
        <v>0</v>
      </c>
      <c r="N632" s="497">
        <f>N633+N634</f>
        <v>0</v>
      </c>
      <c r="O632" s="497">
        <f t="shared" ca="1" si="90"/>
        <v>0</v>
      </c>
      <c r="P632" s="497">
        <f t="shared" si="91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184</v>
      </c>
      <c r="F633" s="758"/>
      <c r="G633" s="602"/>
      <c r="H633" s="164" t="s">
        <v>12</v>
      </c>
      <c r="I633" s="616"/>
      <c r="J633" s="616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185</v>
      </c>
      <c r="F634" s="758"/>
      <c r="G634" s="602"/>
      <c r="H634" s="164" t="s">
        <v>12</v>
      </c>
      <c r="I634" s="616"/>
      <c r="J634" s="616"/>
      <c r="K634" s="92"/>
      <c r="L634" s="92">
        <f ca="1">IFERROR(__xludf.DUMMYFUNCTION("IMPORTRANGE(""https://docs.google.com/spreadsheets/d/1QqKyyYR6Q21VydFLVH3TRQUabQu_ym0Zz7PgGX0-kHA/edit?usp=sharing"",""แผน!HN77"")"),0)</f>
        <v>0</v>
      </c>
      <c r="M634" s="92">
        <v>0</v>
      </c>
      <c r="N634" s="92">
        <f>N635+N636+N637+N638</f>
        <v>0</v>
      </c>
      <c r="O634" s="92">
        <f t="shared" ca="1" si="90"/>
        <v>0</v>
      </c>
      <c r="P634" s="92">
        <f t="shared" si="91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826">
        <v>0</v>
      </c>
      <c r="O635" s="497"/>
      <c r="P635" s="497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826">
        <v>0</v>
      </c>
      <c r="O636" s="497"/>
      <c r="P636" s="497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826">
        <v>0</v>
      </c>
      <c r="O637" s="497"/>
      <c r="P637" s="497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826">
        <v>0</v>
      </c>
      <c r="O638" s="497"/>
      <c r="P638" s="497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IFERROR(__xludf.DUMMYFUNCTION("IMPORTRANGE(""https://docs.google.com/spreadsheets/d/1QqKyyYR6Q21VydFLVH3TRQUabQu_ym0Zz7PgGX0-kHA/edit?usp=sharing"",""แผน!HQ77"")"),0)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41" t="s">
        <v>38</v>
      </c>
      <c r="E642" s="760"/>
      <c r="F642" s="760"/>
      <c r="G642" s="612"/>
      <c r="H642" s="761"/>
      <c r="I642" s="183"/>
      <c r="J642" s="183"/>
      <c r="K642" s="162"/>
      <c r="L642" s="162"/>
      <c r="M642" s="162"/>
      <c r="N642" s="162"/>
      <c r="O642" s="162"/>
      <c r="P642" s="162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271</v>
      </c>
      <c r="F643" s="625"/>
      <c r="G643" s="761"/>
      <c r="H643" s="763" t="s">
        <v>272</v>
      </c>
      <c r="I643" s="269">
        <f ca="1">IFERROR(__xludf.DUMMYFUNCTION("IMPORTRANGE(""https://docs.google.com/spreadsheets/d/1QqKyyYR6Q21VydFLVH3TRQUabQu_ym0Zz7PgGX0-kHA/edit?usp=sharing"",""แผน!HR77"")"),0)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273</v>
      </c>
      <c r="F644" s="625"/>
      <c r="G644" s="761"/>
      <c r="H644" s="763" t="s">
        <v>274</v>
      </c>
      <c r="I644" s="269">
        <f ca="1">IFERROR(__xludf.DUMMYFUNCTION("IMPORTRANGE(""https://docs.google.com/spreadsheets/d/1QqKyyYR6Q21VydFLVH3TRQUabQu_ym0Zz7PgGX0-kHA/edit?usp=sharing"",""แผน!HR77"")"),0)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275</v>
      </c>
      <c r="F645" s="625"/>
      <c r="G645" s="761"/>
      <c r="H645" s="763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IFERROR(__xludf.DUMMYFUNCTION("IMPORTRANGE(""https://docs.google.com/spreadsheets/d/1XWAQStnk-4SwqDmLtmXYiTMKHgktTP8We1SCoS47DrQ/edit?usp=sharing"",""จัดที่ดิน!AS77"")"),0)</f>
        <v>0</v>
      </c>
      <c r="K645" s="162">
        <f t="shared" si="93"/>
        <v>0</v>
      </c>
      <c r="L645" s="162"/>
      <c r="M645" s="162"/>
      <c r="N645" s="497"/>
      <c r="O645" s="162"/>
      <c r="P645" s="162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IFERROR(__xludf.DUMMYFUNCTION("IMPORTRANGE(""https://docs.google.com/spreadsheets/d/1XWAQStnk-4SwqDmLtmXYiTMKHgktTP8We1SCoS47DrQ/edit?usp=sharing"",""จัดที่ดิน!AT77"")"),0)</f>
        <v>0</v>
      </c>
      <c r="K646" s="497">
        <f t="shared" si="93"/>
        <v>0</v>
      </c>
      <c r="L646" s="162"/>
      <c r="M646" s="162"/>
      <c r="N646" s="497"/>
      <c r="O646" s="162"/>
      <c r="P646" s="162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69">
        <f ca="1">IFERROR(__xludf.DUMMYFUNCTION("IMPORTRANGE(""https://docs.google.com/spreadsheets/d/1QqKyyYR6Q21VydFLVH3TRQUabQu_ym0Zz7PgGX0-kHA/edit?usp=sharing"",""แผน!HS77"")"),0)</f>
        <v>0</v>
      </c>
      <c r="J647" s="269">
        <f ca="1">IFERROR(__xludf.DUMMYFUNCTION("IMPORTRANGE(""https://docs.google.com/spreadsheets/d/1XWAQStnk-4SwqDmLtmXYiTMKHgktTP8We1SCoS47DrQ/edit?usp=sharing"",""จัดที่ดิน!AU77"")"),1)</f>
        <v>1</v>
      </c>
      <c r="K647" s="162">
        <f t="shared" ca="1" si="93"/>
        <v>0</v>
      </c>
      <c r="L647" s="162"/>
      <c r="M647" s="162"/>
      <c r="N647" s="162"/>
      <c r="O647" s="162"/>
      <c r="P647" s="162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IFERROR(__xludf.DUMMYFUNCTION("IMPORTRANGE(""https://docs.google.com/spreadsheets/d/1XWAQStnk-4SwqDmLtmXYiTMKHgktTP8We1SCoS47DrQ/edit?usp=sharing"",""จัดที่ดิน!AV77"")"),0.15)</f>
        <v>0.15</v>
      </c>
      <c r="K648" s="497">
        <f t="shared" si="93"/>
        <v>0</v>
      </c>
      <c r="L648" s="162"/>
      <c r="M648" s="162"/>
      <c r="N648" s="162"/>
      <c r="O648" s="162"/>
      <c r="P648" s="162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276</v>
      </c>
      <c r="F649" s="625"/>
      <c r="G649" s="761"/>
      <c r="H649" s="763" t="s">
        <v>35</v>
      </c>
      <c r="I649" s="269">
        <f ca="1">IFERROR(__xludf.DUMMYFUNCTION("IMPORTRANGE(""https://docs.google.com/spreadsheets/d/1QqKyyYR6Q21VydFLVH3TRQUabQu_ym0Zz7PgGX0-kHA/edit?usp=sharing"",""แผน!HS77"")"),0)</f>
        <v>0</v>
      </c>
      <c r="J649" s="269">
        <f ca="1">IFERROR(__xludf.DUMMYFUNCTION("IMPORTRANGE(""https://docs.google.com/spreadsheets/d/1XWAQStnk-4SwqDmLtmXYiTMKHgktTP8We1SCoS47DrQ/edit?usp=sharing"",""จัดที่ดิน!AW77"")"),0)</f>
        <v>0</v>
      </c>
      <c r="K649" s="162">
        <f t="shared" ca="1" si="93"/>
        <v>0</v>
      </c>
      <c r="L649" s="162"/>
      <c r="M649" s="162"/>
      <c r="N649" s="162"/>
      <c r="O649" s="162"/>
      <c r="P649" s="162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IFERROR(__xludf.DUMMYFUNCTION("IMPORTRANGE(""https://docs.google.com/spreadsheets/d/1XWAQStnk-4SwqDmLtmXYiTMKHgktTP8We1SCoS47DrQ/edit?usp=sharing"",""จัดที่ดิน!AX77"")"),0)</f>
        <v>0</v>
      </c>
      <c r="K650" s="497">
        <f t="shared" si="93"/>
        <v>0</v>
      </c>
      <c r="L650" s="162"/>
      <c r="M650" s="162"/>
      <c r="N650" s="162"/>
      <c r="O650" s="162"/>
      <c r="P650" s="162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277</v>
      </c>
      <c r="F651" s="625"/>
      <c r="G651" s="761"/>
      <c r="H651" s="763" t="s">
        <v>35</v>
      </c>
      <c r="I651" s="269">
        <f ca="1">IFERROR(__xludf.DUMMYFUNCTION("IMPORTRANGE(""https://docs.google.com/spreadsheets/d/1QqKyyYR6Q21VydFLVH3TRQUabQu_ym0Zz7PgGX0-kHA/edit?usp=sharing"",""แผน!HS77"")"),0)</f>
        <v>0</v>
      </c>
      <c r="J651" s="269">
        <f ca="1">IFERROR(__xludf.DUMMYFUNCTION("IMPORTRANGE(""https://docs.google.com/spreadsheets/d/1XWAQStnk-4SwqDmLtmXYiTMKHgktTP8We1SCoS47DrQ/edit?usp=sharing"",""จัดที่ดิน!AY77"")"),0)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827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IFERROR(__xludf.DUMMYFUNCTION("IMPORTRANGE(""https://docs.google.com/spreadsheets/d/1XWAQStnk-4SwqDmLtmXYiTMKHgktTP8We1SCoS47DrQ/edit?usp=sharing"",""จัดที่ดิน!AZ77"")"),0)</f>
        <v>0</v>
      </c>
      <c r="K652" s="506">
        <f t="shared" si="93"/>
        <v>0</v>
      </c>
      <c r="L652" s="384"/>
      <c r="M652" s="384"/>
      <c r="N652" s="384"/>
      <c r="O652" s="384"/>
      <c r="P652" s="384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278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279</v>
      </c>
      <c r="C654" s="672"/>
      <c r="D654" s="672"/>
      <c r="E654" s="672"/>
      <c r="F654" s="672"/>
      <c r="G654" s="673"/>
      <c r="H654" s="706" t="s">
        <v>46</v>
      </c>
      <c r="I654" s="707">
        <f ca="1">I669</f>
        <v>0</v>
      </c>
      <c r="J654" s="707">
        <f>J669</f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87" t="s">
        <v>17</v>
      </c>
      <c r="E655" s="888"/>
      <c r="F655" s="888"/>
      <c r="G655" s="188"/>
      <c r="H655" s="597" t="s">
        <v>12</v>
      </c>
      <c r="I655" s="269"/>
      <c r="J655" s="269"/>
      <c r="K655" s="497"/>
      <c r="L655" s="194">
        <f ca="1">L656+L657</f>
        <v>0</v>
      </c>
      <c r="M655" s="194">
        <f>M656+M657</f>
        <v>0</v>
      </c>
      <c r="N655" s="194">
        <f>N656+N657</f>
        <v>0</v>
      </c>
      <c r="O655" s="194">
        <f t="shared" ref="O655:O660" ca="1" si="94">IF(L655&gt;0,N655*100/L655,0)</f>
        <v>0</v>
      </c>
      <c r="P655" s="194">
        <f t="shared" ref="P655:P660" si="9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184</v>
      </c>
      <c r="F656" s="758"/>
      <c r="G656" s="602"/>
      <c r="H656" s="164" t="s">
        <v>12</v>
      </c>
      <c r="I656" s="616"/>
      <c r="J656" s="616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185</v>
      </c>
      <c r="F657" s="758"/>
      <c r="G657" s="602"/>
      <c r="H657" s="164" t="s">
        <v>12</v>
      </c>
      <c r="I657" s="616"/>
      <c r="J657" s="616"/>
      <c r="K657" s="92"/>
      <c r="L657" s="92">
        <f t="shared" ca="1" si="96"/>
        <v>0</v>
      </c>
      <c r="M657" s="92">
        <f t="shared" si="96"/>
        <v>0</v>
      </c>
      <c r="N657" s="92">
        <f t="shared" si="96"/>
        <v>0</v>
      </c>
      <c r="O657" s="92">
        <f t="shared" ca="1" si="94"/>
        <v>0</v>
      </c>
      <c r="P657" s="92">
        <f t="shared" si="9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8"/>
      <c r="H658" s="160" t="s">
        <v>12</v>
      </c>
      <c r="I658" s="183"/>
      <c r="J658" s="183"/>
      <c r="K658" s="162"/>
      <c r="L658" s="497">
        <f ca="1">L659+L660</f>
        <v>0</v>
      </c>
      <c r="M658" s="497">
        <f>M659+M660</f>
        <v>0</v>
      </c>
      <c r="N658" s="497">
        <f>N659+N660</f>
        <v>0</v>
      </c>
      <c r="O658" s="497">
        <f t="shared" ca="1" si="94"/>
        <v>0</v>
      </c>
      <c r="P658" s="497">
        <f t="shared" si="9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184</v>
      </c>
      <c r="F659" s="758"/>
      <c r="G659" s="602"/>
      <c r="H659" s="164" t="s">
        <v>12</v>
      </c>
      <c r="I659" s="616"/>
      <c r="J659" s="616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185</v>
      </c>
      <c r="F660" s="758"/>
      <c r="G660" s="602"/>
      <c r="H660" s="164" t="s">
        <v>12</v>
      </c>
      <c r="I660" s="616"/>
      <c r="J660" s="616"/>
      <c r="K660" s="92"/>
      <c r="L660" s="92">
        <f ca="1">IFERROR(__xludf.DUMMYFUNCTION("IMPORTRANGE(""https://docs.google.com/spreadsheets/d/1QqKyyYR6Q21VydFLVH3TRQUabQu_ym0Zz7PgGX0-kHA/edit?usp=sharing"",""แผน!HV77"")"),0)</f>
        <v>0</v>
      </c>
      <c r="M660" s="92">
        <v>0</v>
      </c>
      <c r="N660" s="92">
        <f>N661+N662+N663+N664</f>
        <v>0</v>
      </c>
      <c r="O660" s="92">
        <f t="shared" ca="1" si="94"/>
        <v>0</v>
      </c>
      <c r="P660" s="92">
        <f t="shared" si="9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826">
        <v>0</v>
      </c>
      <c r="O661" s="497"/>
      <c r="P661" s="497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826">
        <v>0</v>
      </c>
      <c r="O662" s="497"/>
      <c r="P662" s="497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826">
        <v>0</v>
      </c>
      <c r="O663" s="497"/>
      <c r="P663" s="497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826">
        <v>0</v>
      </c>
      <c r="O664" s="497"/>
      <c r="P664" s="497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40" t="s">
        <v>38</v>
      </c>
      <c r="E668" s="760"/>
      <c r="F668" s="760"/>
      <c r="G668" s="612"/>
      <c r="H668" s="761"/>
      <c r="I668" s="183"/>
      <c r="J668" s="183"/>
      <c r="K668" s="162"/>
      <c r="L668" s="162"/>
      <c r="M668" s="162"/>
      <c r="N668" s="162"/>
      <c r="O668" s="162"/>
      <c r="P668" s="162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280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IFERROR(__xludf.DUMMYFUNCTION("IMPORTRANGE(""https://docs.google.com/spreadsheets/d/1QqKyyYR6Q21VydFLVH3TRQUabQu_ym0Zz7PgGX0-kHA/edit?usp=sharing"",""แผน!IA77"")"),0)</f>
        <v>0</v>
      </c>
      <c r="J669" s="680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281</v>
      </c>
      <c r="F670" s="625"/>
      <c r="G670" s="761"/>
      <c r="H670" s="763" t="s">
        <v>66</v>
      </c>
      <c r="I670" s="269">
        <f ca="1">IFERROR(__xludf.DUMMYFUNCTION("IMPORTRANGE(""https://docs.google.com/spreadsheets/d/1QqKyyYR6Q21VydFLVH3TRQUabQu_ym0Zz7PgGX0-kHA/edit?usp=sharing"",""แผน!HZ77"")"),0)</f>
        <v>0</v>
      </c>
      <c r="J670" s="214">
        <v>0</v>
      </c>
      <c r="K670" s="497">
        <f ca="1">IF(I670&gt;0,(J670*100)/I670,0)</f>
        <v>0</v>
      </c>
      <c r="L670" s="162"/>
      <c r="M670" s="162"/>
      <c r="N670" s="162"/>
      <c r="O670" s="162"/>
      <c r="P670" s="162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282</v>
      </c>
      <c r="F671" s="625"/>
      <c r="G671" s="761"/>
      <c r="H671" s="763" t="s">
        <v>66</v>
      </c>
      <c r="I671" s="269">
        <f ca="1">IFERROR(__xludf.DUMMYFUNCTION("IMPORTRANGE(""https://docs.google.com/spreadsheets/d/1QqKyyYR6Q21VydFLVH3TRQUabQu_ym0Zz7PgGX0-kHA/edit?usp=sharing"",""แผน!HZ77"")"),0)</f>
        <v>0</v>
      </c>
      <c r="J671" s="214">
        <v>0</v>
      </c>
      <c r="K671" s="497">
        <f ca="1">IF(I$671&gt;0,J671*100/I$671,0)</f>
        <v>0</v>
      </c>
      <c r="L671" s="162"/>
      <c r="M671" s="162"/>
      <c r="N671" s="162"/>
      <c r="O671" s="162"/>
      <c r="P671" s="162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283</v>
      </c>
      <c r="F672" s="625"/>
      <c r="G672" s="761"/>
      <c r="H672" s="763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284</v>
      </c>
      <c r="F673" s="625"/>
      <c r="G673" s="761"/>
      <c r="H673" s="763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285</v>
      </c>
      <c r="F674" s="625"/>
      <c r="G674" s="761"/>
      <c r="H674" s="763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286</v>
      </c>
      <c r="F675" s="625"/>
      <c r="G675" s="761"/>
      <c r="H675" s="763" t="s">
        <v>46</v>
      </c>
      <c r="I675" s="269"/>
      <c r="J675" s="680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287</v>
      </c>
      <c r="G676" s="761"/>
      <c r="H676" s="763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288</v>
      </c>
      <c r="G677" s="761"/>
      <c r="H677" s="763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289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IFERROR(__xludf.DUMMYFUNCTION("IMPORTRANGE(""https://docs.google.com/spreadsheets/d/1QqKyyYR6Q21VydFLVH3TRQUabQu_ym0Zz7PgGX0-kHA/edit?usp=sharing"",""แผน!IB77"")"),0)</f>
        <v>0</v>
      </c>
      <c r="J678" s="680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290</v>
      </c>
      <c r="F679" s="625"/>
      <c r="G679" s="761"/>
      <c r="H679" s="763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287</v>
      </c>
      <c r="G680" s="761"/>
      <c r="H680" s="763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288</v>
      </c>
      <c r="G681" s="761"/>
      <c r="H681" s="763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291</v>
      </c>
      <c r="F682" s="625"/>
      <c r="G682" s="761"/>
      <c r="H682" s="763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292</v>
      </c>
      <c r="G683" s="761"/>
      <c r="H683" s="763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293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87" t="s">
        <v>17</v>
      </c>
      <c r="E685" s="888"/>
      <c r="F685" s="888"/>
      <c r="G685" s="188"/>
      <c r="H685" s="597" t="s">
        <v>12</v>
      </c>
      <c r="I685" s="269"/>
      <c r="J685" s="269"/>
      <c r="K685" s="497"/>
      <c r="L685" s="194">
        <f ca="1">L686+L687</f>
        <v>0</v>
      </c>
      <c r="M685" s="194">
        <f>M686+M687</f>
        <v>0</v>
      </c>
      <c r="N685" s="194">
        <f>N686+N687</f>
        <v>0</v>
      </c>
      <c r="O685" s="194">
        <f ca="1">IF(L685&gt;0,N685*100/L685,0)</f>
        <v>0</v>
      </c>
      <c r="P685" s="194">
        <f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184</v>
      </c>
      <c r="F686" s="758"/>
      <c r="G686" s="602"/>
      <c r="H686" s="164" t="s">
        <v>12</v>
      </c>
      <c r="I686" s="616"/>
      <c r="J686" s="616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185</v>
      </c>
      <c r="F687" s="758"/>
      <c r="G687" s="602"/>
      <c r="H687" s="164" t="s">
        <v>12</v>
      </c>
      <c r="I687" s="616"/>
      <c r="J687" s="616"/>
      <c r="K687" s="92"/>
      <c r="L687" s="92">
        <f t="shared" ca="1" si="97"/>
        <v>0</v>
      </c>
      <c r="M687" s="92">
        <f t="shared" si="97"/>
        <v>0</v>
      </c>
      <c r="N687" s="92">
        <f t="shared" si="97"/>
        <v>0</v>
      </c>
      <c r="O687" s="92">
        <f ca="1">IF(L687&gt;0,N687*100/L687,0)</f>
        <v>0</v>
      </c>
      <c r="P687" s="92">
        <f>IF(M687&gt;0,N687*100/M687,0)</f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8"/>
      <c r="H688" s="160" t="s">
        <v>12</v>
      </c>
      <c r="I688" s="183"/>
      <c r="J688" s="183"/>
      <c r="K688" s="162"/>
      <c r="L688" s="497">
        <f ca="1">L689+L690</f>
        <v>0</v>
      </c>
      <c r="M688" s="497">
        <f>M689+M690</f>
        <v>0</v>
      </c>
      <c r="N688" s="497">
        <f>N689+N690</f>
        <v>0</v>
      </c>
      <c r="O688" s="497">
        <f ca="1">IF(L688&gt;0,N688*100/L688,0)</f>
        <v>0</v>
      </c>
      <c r="P688" s="497">
        <f>IF(M688&gt;0,N688*100/M688,0)</f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184</v>
      </c>
      <c r="F689" s="758"/>
      <c r="G689" s="602"/>
      <c r="H689" s="164" t="s">
        <v>12</v>
      </c>
      <c r="I689" s="616"/>
      <c r="J689" s="616"/>
      <c r="K689" s="92"/>
      <c r="L689" s="92">
        <v>0</v>
      </c>
      <c r="M689" s="92">
        <v>0</v>
      </c>
      <c r="N689" s="92">
        <v>0</v>
      </c>
      <c r="O689" s="92"/>
      <c r="P689" s="92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185</v>
      </c>
      <c r="F690" s="758"/>
      <c r="G690" s="602"/>
      <c r="H690" s="164" t="s">
        <v>12</v>
      </c>
      <c r="I690" s="616"/>
      <c r="J690" s="616"/>
      <c r="K690" s="92"/>
      <c r="L690" s="92">
        <f ca="1">IFERROR(__xludf.DUMMYFUNCTION("IMPORTRANGE(""https://docs.google.com/spreadsheets/d/1QqKyyYR6Q21VydFLVH3TRQUabQu_ym0Zz7PgGX0-kHA/edit?usp=sharing"",""แผน!HW77"")"),0)</f>
        <v>0</v>
      </c>
      <c r="M690" s="92">
        <v>0</v>
      </c>
      <c r="N690" s="92">
        <f>N691+N692+N693+N694</f>
        <v>0</v>
      </c>
      <c r="O690" s="92">
        <f ca="1">IF(L690&gt;0,N690*100/L690,0)</f>
        <v>0</v>
      </c>
      <c r="P690" s="92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826">
        <v>0</v>
      </c>
      <c r="O691" s="497"/>
      <c r="P691" s="497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826">
        <v>0</v>
      </c>
      <c r="O692" s="497"/>
      <c r="P692" s="497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826">
        <v>0</v>
      </c>
      <c r="O693" s="497"/>
      <c r="P693" s="497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826">
        <v>0</v>
      </c>
      <c r="O694" s="497"/>
      <c r="P694" s="497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38" t="s">
        <v>38</v>
      </c>
      <c r="E698" s="760"/>
      <c r="F698" s="760"/>
      <c r="G698" s="612"/>
      <c r="H698" s="761"/>
      <c r="I698" s="183"/>
      <c r="J698" s="183"/>
      <c r="K698" s="162"/>
      <c r="L698" s="162"/>
      <c r="M698" s="162"/>
      <c r="N698" s="162"/>
      <c r="O698" s="162"/>
      <c r="P698" s="162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294</v>
      </c>
      <c r="E699" s="762"/>
      <c r="F699" s="762"/>
      <c r="G699" s="188"/>
      <c r="H699" s="763" t="s">
        <v>46</v>
      </c>
      <c r="I699" s="764">
        <f ca="1">IFERROR(__xludf.DUMMYFUNCTION("IMPORTRANGE(""https://docs.google.com/spreadsheets/d/1QqKyyYR6Q21VydFLVH3TRQUabQu_ym0Zz7PgGX0-kHA/edit?usp=sharing"",""แผน!IC77"")"),0)</f>
        <v>0</v>
      </c>
      <c r="J699" s="269">
        <f ca="1">IFERROR(__xludf.DUMMYFUNCTION("IMPORTRANGE(""https://docs.google.com/spreadsheets/d/1XWAQStnk-4SwqDmLtmXYiTMKHgktTP8We1SCoS47DrQ/edit?usp=sharing"",""จัดที่ดิน!BB77"")"),0)</f>
        <v>0</v>
      </c>
      <c r="K699" s="497">
        <f ca="1">IF(I699&gt;0,J699*100/I699,0)</f>
        <v>0</v>
      </c>
      <c r="L699" s="497"/>
      <c r="M699" s="188"/>
      <c r="N699" s="765"/>
      <c r="O699" s="497"/>
      <c r="P699" s="497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295</v>
      </c>
      <c r="E700" s="762"/>
      <c r="F700" s="762"/>
      <c r="G700" s="188"/>
      <c r="H700" s="763" t="s">
        <v>35</v>
      </c>
      <c r="I700" s="764">
        <f ca="1">IFERROR(__xludf.DUMMYFUNCTION("IMPORTRANGE(""https://docs.google.com/spreadsheets/d/1QqKyyYR6Q21VydFLVH3TRQUabQu_ym0Zz7PgGX0-kHA/edit?usp=sharing"",""แผน!ID77"")"),0)</f>
        <v>0</v>
      </c>
      <c r="J700" s="269">
        <f ca="1">IFERROR(__xludf.DUMMYFUNCTION("IMPORTRANGE(""https://docs.google.com/spreadsheets/d/1XWAQStnk-4SwqDmLtmXYiTMKHgktTP8We1SCoS47DrQ/edit?usp=sharing"",""จัดที่ดิน!BD77"")"),0)</f>
        <v>0</v>
      </c>
      <c r="K700" s="497">
        <f ca="1">IF(I700&gt;0,J700*100/I700,0)</f>
        <v>0</v>
      </c>
      <c r="L700" s="497"/>
      <c r="M700" s="188"/>
      <c r="N700" s="765"/>
      <c r="O700" s="497"/>
      <c r="P700" s="497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296</v>
      </c>
      <c r="E701" s="762"/>
      <c r="F701" s="762"/>
      <c r="G701" s="188"/>
      <c r="H701" s="766" t="s">
        <v>46</v>
      </c>
      <c r="I701" s="767">
        <f ca="1">IFERROR(__xludf.DUMMYFUNCTION("IMPORTRANGE(""https://docs.google.com/spreadsheets/d/1QqKyyYR6Q21VydFLVH3TRQUabQu_ym0Zz7PgGX0-kHA/edit?usp=sharing"",""แผน!IE77"")"),0)</f>
        <v>0</v>
      </c>
      <c r="J701" s="680">
        <f>J704+J707</f>
        <v>0</v>
      </c>
      <c r="K701" s="194">
        <f ca="1">IF(I701&gt;0,J701*100/I701,0)</f>
        <v>0</v>
      </c>
      <c r="L701" s="497"/>
      <c r="M701" s="188"/>
      <c r="N701" s="765"/>
      <c r="O701" s="497"/>
      <c r="P701" s="497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297</v>
      </c>
      <c r="F702" s="762"/>
      <c r="G702" s="188"/>
      <c r="H702" s="763" t="s">
        <v>35</v>
      </c>
      <c r="I702" s="764"/>
      <c r="J702" s="214">
        <v>0</v>
      </c>
      <c r="K702" s="497"/>
      <c r="L702" s="497"/>
      <c r="M702" s="188"/>
      <c r="N702" s="765"/>
      <c r="O702" s="497"/>
      <c r="P702" s="497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8"/>
      <c r="H703" s="763" t="s">
        <v>34</v>
      </c>
      <c r="I703" s="764"/>
      <c r="J703" s="214">
        <v>0</v>
      </c>
      <c r="K703" s="497"/>
      <c r="L703" s="497"/>
      <c r="M703" s="188"/>
      <c r="N703" s="765"/>
      <c r="O703" s="497"/>
      <c r="P703" s="497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8"/>
      <c r="H704" s="763" t="s">
        <v>46</v>
      </c>
      <c r="I704" s="764">
        <f ca="1">IFERROR(__xludf.DUMMYFUNCTION("IMPORTRANGE(""https://docs.google.com/spreadsheets/d/1QqKyyYR6Q21VydFLVH3TRQUabQu_ym0Zz7PgGX0-kHA/edit?usp=sharing"",""แผน!IF77"")"),0)</f>
        <v>0</v>
      </c>
      <c r="J704" s="214">
        <v>0</v>
      </c>
      <c r="K704" s="497"/>
      <c r="L704" s="497"/>
      <c r="M704" s="188"/>
      <c r="N704" s="765"/>
      <c r="O704" s="497"/>
      <c r="P704" s="497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298</v>
      </c>
      <c r="F705" s="762"/>
      <c r="G705" s="188"/>
      <c r="H705" s="763" t="s">
        <v>35</v>
      </c>
      <c r="I705" s="764"/>
      <c r="J705" s="214">
        <v>0</v>
      </c>
      <c r="K705" s="497"/>
      <c r="L705" s="497"/>
      <c r="M705" s="188"/>
      <c r="N705" s="765"/>
      <c r="O705" s="497"/>
      <c r="P705" s="497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8"/>
      <c r="H706" s="763" t="s">
        <v>34</v>
      </c>
      <c r="I706" s="764"/>
      <c r="J706" s="214">
        <v>0</v>
      </c>
      <c r="K706" s="497"/>
      <c r="L706" s="497"/>
      <c r="M706" s="188"/>
      <c r="N706" s="765"/>
      <c r="O706" s="497"/>
      <c r="P706" s="497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8"/>
      <c r="H707" s="763" t="s">
        <v>46</v>
      </c>
      <c r="I707" s="764">
        <f ca="1">IFERROR(__xludf.DUMMYFUNCTION("IMPORTRANGE(""https://docs.google.com/spreadsheets/d/1QqKyyYR6Q21VydFLVH3TRQUabQu_ym0Zz7PgGX0-kHA/edit?usp=sharing"",""แผน!IG77"")"),0)</f>
        <v>0</v>
      </c>
      <c r="J707" s="214">
        <v>0</v>
      </c>
      <c r="K707" s="497"/>
      <c r="L707" s="497"/>
      <c r="M707" s="188"/>
      <c r="N707" s="765"/>
      <c r="O707" s="497"/>
      <c r="P707" s="497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299</v>
      </c>
      <c r="E708" s="762"/>
      <c r="F708" s="762"/>
      <c r="G708" s="188"/>
      <c r="H708" s="766" t="s">
        <v>46</v>
      </c>
      <c r="I708" s="767">
        <f ca="1">IFERROR(__xludf.DUMMYFUNCTION("IMPORTRANGE(""https://docs.google.com/spreadsheets/d/1QqKyyYR6Q21VydFLVH3TRQUabQu_ym0Zz7PgGX0-kHA/edit?usp=sharing"",""แผน!IH77"")"),0)</f>
        <v>0</v>
      </c>
      <c r="J708" s="680">
        <f>J714+J717</f>
        <v>0</v>
      </c>
      <c r="K708" s="194">
        <f ca="1">IF(I708&gt;0,J708*100/I708,0)</f>
        <v>0</v>
      </c>
      <c r="L708" s="497"/>
      <c r="M708" s="188"/>
      <c r="N708" s="765"/>
      <c r="O708" s="497"/>
      <c r="P708" s="497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300</v>
      </c>
      <c r="F709" s="762"/>
      <c r="G709" s="188"/>
      <c r="H709" s="763" t="s">
        <v>34</v>
      </c>
      <c r="I709" s="764"/>
      <c r="J709" s="214">
        <v>0</v>
      </c>
      <c r="K709" s="497"/>
      <c r="L709" s="765"/>
      <c r="M709" s="188"/>
      <c r="N709" s="765"/>
      <c r="O709" s="497"/>
      <c r="P709" s="497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8"/>
      <c r="H710" s="763" t="s">
        <v>46</v>
      </c>
      <c r="I710" s="764"/>
      <c r="J710" s="214">
        <v>0</v>
      </c>
      <c r="K710" s="497"/>
      <c r="L710" s="765"/>
      <c r="M710" s="188"/>
      <c r="N710" s="765"/>
      <c r="O710" s="497"/>
      <c r="P710" s="497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301</v>
      </c>
      <c r="F711" s="762"/>
      <c r="G711" s="188"/>
      <c r="H711" s="761"/>
      <c r="I711" s="764"/>
      <c r="J711" s="269"/>
      <c r="K711" s="497"/>
      <c r="L711" s="765"/>
      <c r="M711" s="188"/>
      <c r="N711" s="765"/>
      <c r="O711" s="497"/>
      <c r="P711" s="497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302</v>
      </c>
      <c r="G712" s="188"/>
      <c r="H712" s="763" t="s">
        <v>35</v>
      </c>
      <c r="I712" s="764"/>
      <c r="J712" s="214">
        <v>0</v>
      </c>
      <c r="K712" s="497"/>
      <c r="L712" s="765"/>
      <c r="M712" s="188"/>
      <c r="N712" s="765"/>
      <c r="O712" s="497"/>
      <c r="P712" s="497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8"/>
      <c r="H713" s="763" t="s">
        <v>34</v>
      </c>
      <c r="I713" s="764"/>
      <c r="J713" s="214">
        <v>0</v>
      </c>
      <c r="K713" s="497"/>
      <c r="L713" s="765"/>
      <c r="M713" s="188"/>
      <c r="N713" s="765"/>
      <c r="O713" s="497"/>
      <c r="P713" s="497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8"/>
      <c r="H714" s="763" t="s">
        <v>46</v>
      </c>
      <c r="I714" s="764"/>
      <c r="J714" s="214">
        <v>0</v>
      </c>
      <c r="K714" s="497"/>
      <c r="L714" s="765"/>
      <c r="M714" s="188"/>
      <c r="N714" s="765"/>
      <c r="O714" s="497"/>
      <c r="P714" s="497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303</v>
      </c>
      <c r="G715" s="188"/>
      <c r="H715" s="763" t="s">
        <v>35</v>
      </c>
      <c r="I715" s="764"/>
      <c r="J715" s="214">
        <v>0</v>
      </c>
      <c r="K715" s="497"/>
      <c r="L715" s="765"/>
      <c r="M715" s="188"/>
      <c r="N715" s="765"/>
      <c r="O715" s="497"/>
      <c r="P715" s="497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8"/>
      <c r="H716" s="763" t="s">
        <v>34</v>
      </c>
      <c r="I716" s="764"/>
      <c r="J716" s="214">
        <v>0</v>
      </c>
      <c r="K716" s="497"/>
      <c r="L716" s="765"/>
      <c r="M716" s="188"/>
      <c r="N716" s="765"/>
      <c r="O716" s="497"/>
      <c r="P716" s="497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8"/>
      <c r="H717" s="763" t="s">
        <v>46</v>
      </c>
      <c r="I717" s="764"/>
      <c r="J717" s="214">
        <v>0</v>
      </c>
      <c r="K717" s="497"/>
      <c r="L717" s="765"/>
      <c r="M717" s="188"/>
      <c r="N717" s="765"/>
      <c r="O717" s="497"/>
      <c r="P717" s="497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304</v>
      </c>
      <c r="E718" s="762"/>
      <c r="F718" s="762"/>
      <c r="G718" s="188"/>
      <c r="H718" s="763" t="s">
        <v>35</v>
      </c>
      <c r="I718" s="764"/>
      <c r="J718" s="269">
        <f ca="1">IFERROR(__xludf.DUMMYFUNCTION("IMPORTRANGE(""https://docs.google.com/spreadsheets/d/1XWAQStnk-4SwqDmLtmXYiTMKHgktTP8We1SCoS47DrQ/edit?usp=sharing"",""จัดที่ดิน!BF77"")"),0)</f>
        <v>0</v>
      </c>
      <c r="K718" s="497"/>
      <c r="L718" s="497"/>
      <c r="M718" s="188"/>
      <c r="N718" s="765"/>
      <c r="O718" s="497"/>
      <c r="P718" s="497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8"/>
      <c r="H719" s="763" t="s">
        <v>34</v>
      </c>
      <c r="I719" s="764"/>
      <c r="J719" s="269">
        <f ca="1">IFERROR(__xludf.DUMMYFUNCTION("IMPORTRANGE(""https://docs.google.com/spreadsheets/d/1XWAQStnk-4SwqDmLtmXYiTMKHgktTP8We1SCoS47DrQ/edit?usp=sharing"",""จัดที่ดิน!BG77"")"),0)</f>
        <v>0</v>
      </c>
      <c r="K719" s="497"/>
      <c r="L719" s="765"/>
      <c r="M719" s="188"/>
      <c r="N719" s="765"/>
      <c r="O719" s="497"/>
      <c r="P719" s="497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8"/>
      <c r="H720" s="763" t="s">
        <v>46</v>
      </c>
      <c r="I720" s="764">
        <f ca="1">IFERROR(__xludf.DUMMYFUNCTION("IMPORTRANGE(""https://docs.google.com/spreadsheets/d/1QqKyyYR6Q21VydFLVH3TRQUabQu_ym0Zz7PgGX0-kHA/edit?usp=sharing"",""แผน!II77"")"),0)</f>
        <v>0</v>
      </c>
      <c r="J720" s="269">
        <f ca="1">IFERROR(__xludf.DUMMYFUNCTION("IMPORTRANGE(""https://docs.google.com/spreadsheets/d/1XWAQStnk-4SwqDmLtmXYiTMKHgktTP8We1SCoS47DrQ/edit?usp=sharing"",""จัดที่ดิน!BH77"")"),0)</f>
        <v>0</v>
      </c>
      <c r="K720" s="497">
        <f ca="1">IF(I720&gt;0,J720*100/I720,0)</f>
        <v>0</v>
      </c>
      <c r="L720" s="765"/>
      <c r="M720" s="188"/>
      <c r="N720" s="765"/>
      <c r="O720" s="497"/>
      <c r="P720" s="497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305</v>
      </c>
      <c r="E721" s="762"/>
      <c r="F721" s="762"/>
      <c r="G721" s="188"/>
      <c r="H721" s="766" t="s">
        <v>35</v>
      </c>
      <c r="I721" s="767">
        <f ca="1">IFERROR(__xludf.DUMMYFUNCTION("IMPORTRANGE(""https://docs.google.com/spreadsheets/d/1QqKyyYR6Q21VydFLVH3TRQUabQu_ym0Zz7PgGX0-kHA/edit?usp=sharing"",""แผน!IJ77"")"),0)</f>
        <v>0</v>
      </c>
      <c r="J721" s="680">
        <f ca="1">J723+J726</f>
        <v>0</v>
      </c>
      <c r="K721" s="194">
        <f ca="1">IF(I721&gt;0,J721*100/I721,0)</f>
        <v>0</v>
      </c>
      <c r="L721" s="765"/>
      <c r="M721" s="188"/>
      <c r="N721" s="765"/>
      <c r="O721" s="497"/>
      <c r="P721" s="497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8"/>
      <c r="H722" s="766" t="s">
        <v>46</v>
      </c>
      <c r="I722" s="767">
        <f ca="1">IFERROR(__xludf.DUMMYFUNCTION("IMPORTRANGE(""https://docs.google.com/spreadsheets/d/1QqKyyYR6Q21VydFLVH3TRQUabQu_ym0Zz7PgGX0-kHA/edit?usp=sharing"",""แผน!IK77"")"),0)</f>
        <v>0</v>
      </c>
      <c r="J722" s="680">
        <f ca="1">J725+J728</f>
        <v>0</v>
      </c>
      <c r="K722" s="194">
        <f ca="1">IF(I722&gt;0,J722*100/I722,0)</f>
        <v>0</v>
      </c>
      <c r="L722" s="497"/>
      <c r="M722" s="188"/>
      <c r="N722" s="765"/>
      <c r="O722" s="497"/>
      <c r="P722" s="497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306</v>
      </c>
      <c r="F723" s="762"/>
      <c r="G723" s="188"/>
      <c r="H723" s="763" t="s">
        <v>35</v>
      </c>
      <c r="I723" s="764">
        <f ca="1">IFERROR(__xludf.DUMMYFUNCTION("IMPORTRANGE(""https://docs.google.com/spreadsheets/d/1QqKyyYR6Q21VydFLVH3TRQUabQu_ym0Zz7PgGX0-kHA/edit?usp=sharing"",""แผน!IL77"")"),0)</f>
        <v>0</v>
      </c>
      <c r="J723" s="269">
        <f ca="1">IFERROR(__xludf.DUMMYFUNCTION("IMPORTRANGE(""https://docs.google.com/spreadsheets/d/1XWAQStnk-4SwqDmLtmXYiTMKHgktTP8We1SCoS47DrQ/edit?usp=sharing"",""จัดที่ดิน!BM77"")"),0)</f>
        <v>0</v>
      </c>
      <c r="K723" s="497">
        <f ca="1">IF(I723&gt;0,J723*100/I723,0)</f>
        <v>0</v>
      </c>
      <c r="L723" s="497"/>
      <c r="M723" s="188"/>
      <c r="N723" s="765"/>
      <c r="O723" s="497"/>
      <c r="P723" s="497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8"/>
      <c r="H724" s="763" t="s">
        <v>34</v>
      </c>
      <c r="I724" s="764"/>
      <c r="J724" s="269">
        <f ca="1">IFERROR(__xludf.DUMMYFUNCTION("IMPORTRANGE(""https://docs.google.com/spreadsheets/d/1XWAQStnk-4SwqDmLtmXYiTMKHgktTP8We1SCoS47DrQ/edit?usp=sharing"",""จัดที่ดิน!BN77"")"),0)</f>
        <v>0</v>
      </c>
      <c r="K724" s="497"/>
      <c r="L724" s="765"/>
      <c r="M724" s="188"/>
      <c r="N724" s="765"/>
      <c r="O724" s="497"/>
      <c r="P724" s="497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8"/>
      <c r="H725" s="763" t="s">
        <v>46</v>
      </c>
      <c r="I725" s="764">
        <f ca="1">IFERROR(__xludf.DUMMYFUNCTION("IMPORTRANGE(""https://docs.google.com/spreadsheets/d/1QqKyyYR6Q21VydFLVH3TRQUabQu_ym0Zz7PgGX0-kHA/edit?usp=sharing"",""แผน!IM77"")"),0)</f>
        <v>0</v>
      </c>
      <c r="J725" s="269">
        <f ca="1">IFERROR(__xludf.DUMMYFUNCTION("IMPORTRANGE(""https://docs.google.com/spreadsheets/d/1XWAQStnk-4SwqDmLtmXYiTMKHgktTP8We1SCoS47DrQ/edit?usp=sharing"",""จัดที่ดิน!BO77"")"),0)</f>
        <v>0</v>
      </c>
      <c r="K725" s="497">
        <f ca="1">IF(I725&gt;0,J725*100/I725,0)</f>
        <v>0</v>
      </c>
      <c r="L725" s="765"/>
      <c r="M725" s="188"/>
      <c r="N725" s="765"/>
      <c r="O725" s="497"/>
      <c r="P725" s="497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307</v>
      </c>
      <c r="F726" s="762"/>
      <c r="G726" s="188"/>
      <c r="H726" s="763" t="s">
        <v>35</v>
      </c>
      <c r="I726" s="764">
        <f ca="1">IFERROR(__xludf.DUMMYFUNCTION("IMPORTRANGE(""https://docs.google.com/spreadsheets/d/1QqKyyYR6Q21VydFLVH3TRQUabQu_ym0Zz7PgGX0-kHA/edit?usp=sharing"",""แผน!IN77"")"),0)</f>
        <v>0</v>
      </c>
      <c r="J726" s="269">
        <f ca="1">IFERROR(__xludf.DUMMYFUNCTION("IMPORTRANGE(""https://docs.google.com/spreadsheets/d/1XWAQStnk-4SwqDmLtmXYiTMKHgktTP8We1SCoS47DrQ/edit?usp=sharing"",""จัดที่ดิน!BR77"")"),0)</f>
        <v>0</v>
      </c>
      <c r="K726" s="497">
        <f ca="1">IF(I726&gt;0,J726*100/I726,0)</f>
        <v>0</v>
      </c>
      <c r="L726" s="497"/>
      <c r="M726" s="188"/>
      <c r="N726" s="765"/>
      <c r="O726" s="497"/>
      <c r="P726" s="497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8"/>
      <c r="H727" s="763" t="s">
        <v>34</v>
      </c>
      <c r="I727" s="764"/>
      <c r="J727" s="269">
        <f ca="1">IFERROR(__xludf.DUMMYFUNCTION("IMPORTRANGE(""https://docs.google.com/spreadsheets/d/1XWAQStnk-4SwqDmLtmXYiTMKHgktTP8We1SCoS47DrQ/edit?usp=sharing"",""จัดที่ดิน!BS77"")"),0)</f>
        <v>0</v>
      </c>
      <c r="K727" s="497"/>
      <c r="L727" s="765"/>
      <c r="M727" s="188"/>
      <c r="N727" s="765"/>
      <c r="O727" s="497"/>
      <c r="P727" s="497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8"/>
      <c r="H728" s="763" t="s">
        <v>46</v>
      </c>
      <c r="I728" s="764">
        <f ca="1">IFERROR(__xludf.DUMMYFUNCTION("IMPORTRANGE(""https://docs.google.com/spreadsheets/d/1QqKyyYR6Q21VydFLVH3TRQUabQu_ym0Zz7PgGX0-kHA/edit?usp=sharing"",""แผน!IO77"")"),0)</f>
        <v>0</v>
      </c>
      <c r="J728" s="269">
        <f ca="1">IFERROR(__xludf.DUMMYFUNCTION("IMPORTRANGE(""https://docs.google.com/spreadsheets/d/1XWAQStnk-4SwqDmLtmXYiTMKHgktTP8We1SCoS47DrQ/edit?usp=sharing"",""จัดที่ดิน!BT77"")"),0)</f>
        <v>0</v>
      </c>
      <c r="K728" s="497">
        <f ca="1">IF(I728&gt;0,J728*100/I728,0)</f>
        <v>0</v>
      </c>
      <c r="L728" s="765"/>
      <c r="M728" s="188"/>
      <c r="N728" s="765"/>
      <c r="O728" s="497"/>
      <c r="P728" s="497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308</v>
      </c>
      <c r="E729" s="762"/>
      <c r="F729" s="762"/>
      <c r="G729" s="188"/>
      <c r="H729" s="766" t="s">
        <v>46</v>
      </c>
      <c r="I729" s="767">
        <f ca="1">IFERROR(__xludf.DUMMYFUNCTION("IMPORTRANGE(""https://docs.google.com/spreadsheets/d/1QqKyyYR6Q21VydFLVH3TRQUabQu_ym0Zz7PgGX0-kHA/edit?usp=sharing"",""แผน!IP77"")"),0)</f>
        <v>0</v>
      </c>
      <c r="J729" s="680">
        <f>J732+J735</f>
        <v>0</v>
      </c>
      <c r="K729" s="194">
        <f ca="1">IF(I729&gt;0,J729*100/I729,0)</f>
        <v>0</v>
      </c>
      <c r="L729" s="497"/>
      <c r="M729" s="188"/>
      <c r="N729" s="765"/>
      <c r="O729" s="497"/>
      <c r="P729" s="497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309</v>
      </c>
      <c r="F730" s="762"/>
      <c r="G730" s="188"/>
      <c r="H730" s="763" t="s">
        <v>35</v>
      </c>
      <c r="I730" s="764"/>
      <c r="J730" s="214">
        <v>0</v>
      </c>
      <c r="K730" s="497"/>
      <c r="L730" s="765"/>
      <c r="M730" s="497"/>
      <c r="N730" s="765"/>
      <c r="O730" s="497"/>
      <c r="P730" s="497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8"/>
      <c r="H731" s="763" t="s">
        <v>34</v>
      </c>
      <c r="I731" s="764"/>
      <c r="J731" s="214">
        <v>0</v>
      </c>
      <c r="K731" s="497"/>
      <c r="L731" s="765"/>
      <c r="M731" s="497"/>
      <c r="N731" s="765"/>
      <c r="O731" s="497"/>
      <c r="P731" s="497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8"/>
      <c r="H732" s="763" t="s">
        <v>46</v>
      </c>
      <c r="I732" s="764"/>
      <c r="J732" s="214">
        <v>0</v>
      </c>
      <c r="K732" s="497"/>
      <c r="L732" s="765"/>
      <c r="M732" s="497"/>
      <c r="N732" s="765"/>
      <c r="O732" s="497"/>
      <c r="P732" s="497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310</v>
      </c>
      <c r="F733" s="762"/>
      <c r="G733" s="188"/>
      <c r="H733" s="763" t="s">
        <v>35</v>
      </c>
      <c r="I733" s="764"/>
      <c r="J733" s="214">
        <v>0</v>
      </c>
      <c r="K733" s="497"/>
      <c r="L733" s="765"/>
      <c r="M733" s="497"/>
      <c r="N733" s="765"/>
      <c r="O733" s="497"/>
      <c r="P733" s="497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8"/>
      <c r="H734" s="763" t="s">
        <v>34</v>
      </c>
      <c r="I734" s="764"/>
      <c r="J734" s="214">
        <v>0</v>
      </c>
      <c r="K734" s="497"/>
      <c r="L734" s="765"/>
      <c r="M734" s="497"/>
      <c r="N734" s="765"/>
      <c r="O734" s="497"/>
      <c r="P734" s="497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311</v>
      </c>
      <c r="C735" s="733"/>
      <c r="D735" s="733"/>
      <c r="E735" s="733"/>
      <c r="F735" s="733"/>
      <c r="G735" s="734"/>
      <c r="H735" s="422" t="s">
        <v>46</v>
      </c>
      <c r="I735" s="771"/>
      <c r="J735" s="424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312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92" t="s">
        <v>17</v>
      </c>
      <c r="E737" s="888"/>
      <c r="F737" s="888"/>
      <c r="G737" s="602"/>
      <c r="H737" s="645" t="s">
        <v>12</v>
      </c>
      <c r="I737" s="616"/>
      <c r="J737" s="616"/>
      <c r="K737" s="92"/>
      <c r="L737" s="646">
        <f>L738+L739</f>
        <v>0</v>
      </c>
      <c r="M737" s="646">
        <f>M738+M739</f>
        <v>0</v>
      </c>
      <c r="N737" s="646">
        <f>N738+N739</f>
        <v>0</v>
      </c>
      <c r="O737" s="646">
        <f t="shared" ref="O737:O742" si="98">IF(L737&gt;0,N737*100/L737,0)</f>
        <v>0</v>
      </c>
      <c r="P737" s="646">
        <f t="shared" ref="P737:P742" si="99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184</v>
      </c>
      <c r="F738" s="758"/>
      <c r="G738" s="602"/>
      <c r="H738" s="164" t="s">
        <v>12</v>
      </c>
      <c r="I738" s="616"/>
      <c r="J738" s="616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185</v>
      </c>
      <c r="F739" s="758"/>
      <c r="G739" s="602"/>
      <c r="H739" s="164" t="s">
        <v>12</v>
      </c>
      <c r="I739" s="616"/>
      <c r="J739" s="616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5"/>
      <c r="J740" s="165"/>
      <c r="K740" s="166"/>
      <c r="L740" s="646">
        <f>L741+L742</f>
        <v>0</v>
      </c>
      <c r="M740" s="646">
        <f>M741+M742</f>
        <v>0</v>
      </c>
      <c r="N740" s="646">
        <f>N741+N742</f>
        <v>0</v>
      </c>
      <c r="O740" s="646">
        <f t="shared" si="98"/>
        <v>0</v>
      </c>
      <c r="P740" s="646">
        <f t="shared" si="99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184</v>
      </c>
      <c r="F741" s="758"/>
      <c r="G741" s="602"/>
      <c r="H741" s="164" t="s">
        <v>12</v>
      </c>
      <c r="I741" s="616"/>
      <c r="J741" s="616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185</v>
      </c>
      <c r="F742" s="758"/>
      <c r="G742" s="602"/>
      <c r="H742" s="164" t="s">
        <v>12</v>
      </c>
      <c r="I742" s="616"/>
      <c r="J742" s="616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186</v>
      </c>
      <c r="G743" s="602"/>
      <c r="H743" s="164" t="s">
        <v>12</v>
      </c>
      <c r="I743" s="616"/>
      <c r="J743" s="616"/>
      <c r="K743" s="92"/>
      <c r="L743" s="92"/>
      <c r="M743" s="92"/>
      <c r="N743" s="92"/>
      <c r="O743" s="92"/>
      <c r="P743" s="92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187</v>
      </c>
      <c r="G744" s="602"/>
      <c r="H744" s="164" t="s">
        <v>12</v>
      </c>
      <c r="I744" s="616"/>
      <c r="J744" s="616"/>
      <c r="K744" s="92"/>
      <c r="L744" s="92"/>
      <c r="M744" s="92"/>
      <c r="N744" s="92"/>
      <c r="O744" s="92"/>
      <c r="P744" s="92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188</v>
      </c>
      <c r="G745" s="602"/>
      <c r="H745" s="164" t="s">
        <v>12</v>
      </c>
      <c r="I745" s="616"/>
      <c r="J745" s="616"/>
      <c r="K745" s="92"/>
      <c r="L745" s="92"/>
      <c r="M745" s="92"/>
      <c r="N745" s="92"/>
      <c r="O745" s="92"/>
      <c r="P745" s="92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189</v>
      </c>
      <c r="G746" s="602"/>
      <c r="H746" s="164" t="s">
        <v>12</v>
      </c>
      <c r="I746" s="616"/>
      <c r="J746" s="616"/>
      <c r="K746" s="92"/>
      <c r="L746" s="92"/>
      <c r="M746" s="92"/>
      <c r="N746" s="92"/>
      <c r="O746" s="92"/>
      <c r="P746" s="92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5"/>
      <c r="J747" s="165"/>
      <c r="K747" s="166"/>
      <c r="L747" s="646">
        <f>L748+L749</f>
        <v>0</v>
      </c>
      <c r="M747" s="646">
        <f>M748+M749</f>
        <v>0</v>
      </c>
      <c r="N747" s="646">
        <f>N748+N749</f>
        <v>0</v>
      </c>
      <c r="O747" s="646">
        <f>IF(L747&gt;0,N747*100/L747,0)</f>
        <v>0</v>
      </c>
      <c r="P747" s="646">
        <f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39" t="s">
        <v>38</v>
      </c>
      <c r="E750" s="650"/>
      <c r="F750" s="650"/>
      <c r="G750" s="651"/>
      <c r="H750" s="365"/>
      <c r="I750" s="165"/>
      <c r="J750" s="165"/>
      <c r="K750" s="166"/>
      <c r="L750" s="166"/>
      <c r="M750" s="166"/>
      <c r="N750" s="166"/>
      <c r="O750" s="166"/>
      <c r="P750" s="166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313</v>
      </c>
      <c r="F751" s="758"/>
      <c r="G751" s="602"/>
      <c r="H751" s="164" t="s">
        <v>46</v>
      </c>
      <c r="I751" s="616"/>
      <c r="J751" s="616"/>
      <c r="K751" s="92"/>
      <c r="L751" s="92"/>
      <c r="M751" s="92"/>
      <c r="N751" s="92"/>
      <c r="O751" s="92"/>
      <c r="P751" s="92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4" t="s">
        <v>314</v>
      </c>
      <c r="I752" s="616"/>
      <c r="J752" s="616"/>
      <c r="K752" s="92"/>
      <c r="L752" s="92"/>
      <c r="M752" s="92"/>
      <c r="N752" s="92"/>
      <c r="O752" s="92"/>
      <c r="P752" s="92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315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92" t="s">
        <v>17</v>
      </c>
      <c r="E754" s="888"/>
      <c r="F754" s="888"/>
      <c r="G754" s="602"/>
      <c r="H754" s="645" t="s">
        <v>12</v>
      </c>
      <c r="I754" s="616"/>
      <c r="J754" s="616"/>
      <c r="K754" s="92"/>
      <c r="L754" s="646">
        <f>L755+L756</f>
        <v>0</v>
      </c>
      <c r="M754" s="646">
        <f>M755+M756</f>
        <v>0</v>
      </c>
      <c r="N754" s="646">
        <f>N755+N756</f>
        <v>0</v>
      </c>
      <c r="O754" s="646">
        <f t="shared" ref="O754:O759" si="101">IF(L754&gt;0,N754*100/L754,0)</f>
        <v>0</v>
      </c>
      <c r="P754" s="646">
        <f t="shared" ref="P754:P759" si="102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184</v>
      </c>
      <c r="F755" s="758"/>
      <c r="G755" s="602"/>
      <c r="H755" s="164" t="s">
        <v>12</v>
      </c>
      <c r="I755" s="616"/>
      <c r="J755" s="616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185</v>
      </c>
      <c r="F756" s="758"/>
      <c r="G756" s="602"/>
      <c r="H756" s="164" t="s">
        <v>12</v>
      </c>
      <c r="I756" s="616"/>
      <c r="J756" s="616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5"/>
      <c r="J757" s="165"/>
      <c r="K757" s="166"/>
      <c r="L757" s="646">
        <f>L758+L759</f>
        <v>0</v>
      </c>
      <c r="M757" s="646">
        <f>M758+M759</f>
        <v>0</v>
      </c>
      <c r="N757" s="646">
        <f>N758+N759</f>
        <v>0</v>
      </c>
      <c r="O757" s="646">
        <f t="shared" si="101"/>
        <v>0</v>
      </c>
      <c r="P757" s="646">
        <f t="shared" si="102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184</v>
      </c>
      <c r="F758" s="758"/>
      <c r="G758" s="602"/>
      <c r="H758" s="164" t="s">
        <v>12</v>
      </c>
      <c r="I758" s="616"/>
      <c r="J758" s="616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185</v>
      </c>
      <c r="F759" s="758"/>
      <c r="G759" s="602"/>
      <c r="H759" s="164" t="s">
        <v>12</v>
      </c>
      <c r="I759" s="616"/>
      <c r="J759" s="616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186</v>
      </c>
      <c r="G760" s="602"/>
      <c r="H760" s="164" t="s">
        <v>12</v>
      </c>
      <c r="I760" s="616"/>
      <c r="J760" s="616"/>
      <c r="K760" s="92"/>
      <c r="L760" s="92"/>
      <c r="M760" s="92"/>
      <c r="N760" s="92"/>
      <c r="O760" s="92"/>
      <c r="P760" s="92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187</v>
      </c>
      <c r="G761" s="602"/>
      <c r="H761" s="164" t="s">
        <v>12</v>
      </c>
      <c r="I761" s="616"/>
      <c r="J761" s="616"/>
      <c r="K761" s="92"/>
      <c r="L761" s="92"/>
      <c r="M761" s="92"/>
      <c r="N761" s="92"/>
      <c r="O761" s="92"/>
      <c r="P761" s="92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188</v>
      </c>
      <c r="G762" s="602"/>
      <c r="H762" s="164" t="s">
        <v>12</v>
      </c>
      <c r="I762" s="616"/>
      <c r="J762" s="616"/>
      <c r="K762" s="92"/>
      <c r="L762" s="92"/>
      <c r="M762" s="92"/>
      <c r="N762" s="92"/>
      <c r="O762" s="92"/>
      <c r="P762" s="92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189</v>
      </c>
      <c r="G763" s="602"/>
      <c r="H763" s="164" t="s">
        <v>12</v>
      </c>
      <c r="I763" s="616"/>
      <c r="J763" s="616"/>
      <c r="K763" s="92"/>
      <c r="L763" s="92"/>
      <c r="M763" s="92"/>
      <c r="N763" s="92"/>
      <c r="O763" s="92"/>
      <c r="P763" s="92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5"/>
      <c r="J764" s="165"/>
      <c r="K764" s="166"/>
      <c r="L764" s="646">
        <f>L765+L766</f>
        <v>0</v>
      </c>
      <c r="M764" s="646">
        <f>M765+M766</f>
        <v>0</v>
      </c>
      <c r="N764" s="646">
        <f>N765+N766</f>
        <v>0</v>
      </c>
      <c r="O764" s="646">
        <f>IF(L764&gt;0,N764*100/L764,0)</f>
        <v>0</v>
      </c>
      <c r="P764" s="646">
        <f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39" t="s">
        <v>38</v>
      </c>
      <c r="E767" s="650"/>
      <c r="F767" s="650"/>
      <c r="G767" s="651"/>
      <c r="H767" s="365"/>
      <c r="I767" s="165"/>
      <c r="J767" s="165"/>
      <c r="K767" s="166"/>
      <c r="L767" s="166"/>
      <c r="M767" s="166"/>
      <c r="N767" s="166"/>
      <c r="O767" s="166"/>
      <c r="P767" s="166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316</v>
      </c>
      <c r="F768" s="758"/>
      <c r="G768" s="602"/>
      <c r="H768" s="164" t="s">
        <v>46</v>
      </c>
      <c r="I768" s="616"/>
      <c r="J768" s="616"/>
      <c r="K768" s="92"/>
      <c r="L768" s="92"/>
      <c r="M768" s="92"/>
      <c r="N768" s="92"/>
      <c r="O768" s="92"/>
      <c r="P768" s="92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317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92" t="s">
        <v>17</v>
      </c>
      <c r="E770" s="888"/>
      <c r="F770" s="888"/>
      <c r="G770" s="602"/>
      <c r="H770" s="645" t="s">
        <v>12</v>
      </c>
      <c r="I770" s="616"/>
      <c r="J770" s="616"/>
      <c r="K770" s="92"/>
      <c r="L770" s="646">
        <f>L771+L772</f>
        <v>0</v>
      </c>
      <c r="M770" s="646">
        <f>M771+M772</f>
        <v>0</v>
      </c>
      <c r="N770" s="646">
        <f>N771+N772</f>
        <v>0</v>
      </c>
      <c r="O770" s="646">
        <f t="shared" ref="O770:O775" si="104">IF(L770&gt;0,N770*100/L770,0)</f>
        <v>0</v>
      </c>
      <c r="P770" s="646">
        <f t="shared" ref="P770:P775" si="105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184</v>
      </c>
      <c r="F771" s="758"/>
      <c r="G771" s="602"/>
      <c r="H771" s="164" t="s">
        <v>12</v>
      </c>
      <c r="I771" s="616"/>
      <c r="J771" s="616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185</v>
      </c>
      <c r="F772" s="758"/>
      <c r="G772" s="602"/>
      <c r="H772" s="164" t="s">
        <v>12</v>
      </c>
      <c r="I772" s="616"/>
      <c r="J772" s="616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5"/>
      <c r="J773" s="165"/>
      <c r="K773" s="166"/>
      <c r="L773" s="646">
        <f>L774+L775</f>
        <v>0</v>
      </c>
      <c r="M773" s="646">
        <f>M774+M775</f>
        <v>0</v>
      </c>
      <c r="N773" s="646">
        <f>N774+N775</f>
        <v>0</v>
      </c>
      <c r="O773" s="646">
        <f t="shared" si="104"/>
        <v>0</v>
      </c>
      <c r="P773" s="646">
        <f t="shared" si="105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184</v>
      </c>
      <c r="F774" s="758"/>
      <c r="G774" s="602"/>
      <c r="H774" s="164" t="s">
        <v>12</v>
      </c>
      <c r="I774" s="616"/>
      <c r="J774" s="616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185</v>
      </c>
      <c r="F775" s="758"/>
      <c r="G775" s="602"/>
      <c r="H775" s="164" t="s">
        <v>12</v>
      </c>
      <c r="I775" s="616"/>
      <c r="J775" s="616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186</v>
      </c>
      <c r="G776" s="602"/>
      <c r="H776" s="164" t="s">
        <v>12</v>
      </c>
      <c r="I776" s="616"/>
      <c r="J776" s="616"/>
      <c r="K776" s="92"/>
      <c r="L776" s="92"/>
      <c r="M776" s="92"/>
      <c r="N776" s="92"/>
      <c r="O776" s="92"/>
      <c r="P776" s="92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187</v>
      </c>
      <c r="G777" s="602"/>
      <c r="H777" s="164" t="s">
        <v>12</v>
      </c>
      <c r="I777" s="616"/>
      <c r="J777" s="616"/>
      <c r="K777" s="92"/>
      <c r="L777" s="92"/>
      <c r="M777" s="92"/>
      <c r="N777" s="92"/>
      <c r="O777" s="92"/>
      <c r="P777" s="92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188</v>
      </c>
      <c r="G778" s="602"/>
      <c r="H778" s="164" t="s">
        <v>12</v>
      </c>
      <c r="I778" s="616"/>
      <c r="J778" s="616"/>
      <c r="K778" s="92"/>
      <c r="L778" s="92"/>
      <c r="M778" s="92"/>
      <c r="N778" s="92"/>
      <c r="O778" s="92"/>
      <c r="P778" s="92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189</v>
      </c>
      <c r="G779" s="602"/>
      <c r="H779" s="164" t="s">
        <v>12</v>
      </c>
      <c r="I779" s="616"/>
      <c r="J779" s="616"/>
      <c r="K779" s="92"/>
      <c r="L779" s="92"/>
      <c r="M779" s="92"/>
      <c r="N779" s="92"/>
      <c r="O779" s="92"/>
      <c r="P779" s="92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5"/>
      <c r="J780" s="165"/>
      <c r="K780" s="166"/>
      <c r="L780" s="646">
        <f>L781+L782</f>
        <v>0</v>
      </c>
      <c r="M780" s="646">
        <f>M781+M782</f>
        <v>0</v>
      </c>
      <c r="N780" s="646">
        <f>N781+N782</f>
        <v>0</v>
      </c>
      <c r="O780" s="646">
        <f>IF(L780&gt;0,N780*100/L780,0)</f>
        <v>0</v>
      </c>
      <c r="P780" s="646">
        <f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39" t="s">
        <v>38</v>
      </c>
      <c r="E783" s="650"/>
      <c r="F783" s="650"/>
      <c r="G783" s="651"/>
      <c r="H783" s="800"/>
      <c r="I783" s="165"/>
      <c r="J783" s="165"/>
      <c r="K783" s="166"/>
      <c r="L783" s="166"/>
      <c r="M783" s="166"/>
      <c r="N783" s="166"/>
      <c r="O783" s="166"/>
      <c r="P783" s="166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318</v>
      </c>
      <c r="F784" s="758"/>
      <c r="G784" s="602"/>
      <c r="H784" s="164" t="s">
        <v>46</v>
      </c>
      <c r="I784" s="616"/>
      <c r="J784" s="616"/>
      <c r="K784" s="92"/>
      <c r="L784" s="92"/>
      <c r="M784" s="92"/>
      <c r="N784" s="92"/>
      <c r="O784" s="92"/>
      <c r="P784" s="92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319</v>
      </c>
      <c r="C785" s="803"/>
      <c r="D785" s="803"/>
      <c r="E785" s="803"/>
      <c r="F785" s="803"/>
      <c r="G785" s="804"/>
      <c r="H785" s="805" t="s">
        <v>46</v>
      </c>
      <c r="I785" s="806">
        <f ca="1">I800</f>
        <v>0</v>
      </c>
      <c r="J785" s="807">
        <f ca="1">J800</f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87" t="s">
        <v>17</v>
      </c>
      <c r="E786" s="888"/>
      <c r="F786" s="888"/>
      <c r="G786" s="188"/>
      <c r="H786" s="597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184</v>
      </c>
      <c r="F787" s="758"/>
      <c r="G787" s="602"/>
      <c r="H787" s="164" t="s">
        <v>12</v>
      </c>
      <c r="I787" s="616"/>
      <c r="J787" s="616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185</v>
      </c>
      <c r="F788" s="758"/>
      <c r="G788" s="602"/>
      <c r="H788" s="164" t="s">
        <v>12</v>
      </c>
      <c r="I788" s="616"/>
      <c r="J788" s="616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184</v>
      </c>
      <c r="F790" s="758"/>
      <c r="G790" s="602"/>
      <c r="H790" s="164" t="s">
        <v>12</v>
      </c>
      <c r="I790" s="616"/>
      <c r="J790" s="616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185</v>
      </c>
      <c r="F791" s="758"/>
      <c r="G791" s="602"/>
      <c r="H791" s="164" t="s">
        <v>12</v>
      </c>
      <c r="I791" s="616"/>
      <c r="J791" s="616"/>
      <c r="K791" s="92"/>
      <c r="L791" s="92">
        <f ca="1">IFERROR(__xludf.DUMMYFUNCTION("IMPORTRANGE(""https://docs.google.com/spreadsheets/d/1QqKyyYR6Q21VydFLVH3TRQUabQu_ym0Zz7PgGX0-kHA/edit?usp=sharing"",""แผน!JJ77"")"),0)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826">
        <v>0</v>
      </c>
      <c r="O792" s="497"/>
      <c r="P792" s="497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826">
        <v>0</v>
      </c>
      <c r="O793" s="497"/>
      <c r="P793" s="497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826">
        <v>0</v>
      </c>
      <c r="O794" s="497"/>
      <c r="P794" s="497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826">
        <v>0</v>
      </c>
      <c r="O795" s="497"/>
      <c r="P795" s="497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38" t="s">
        <v>38</v>
      </c>
      <c r="E799" s="760"/>
      <c r="F799" s="760"/>
      <c r="G799" s="612"/>
      <c r="H799" s="810"/>
      <c r="I799" s="183"/>
      <c r="J799" s="183"/>
      <c r="K799" s="162"/>
      <c r="L799" s="162"/>
      <c r="M799" s="162"/>
      <c r="N799" s="162"/>
      <c r="O799" s="162"/>
      <c r="P799" s="162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320</v>
      </c>
      <c r="G800" s="761"/>
      <c r="H800" s="184" t="s">
        <v>46</v>
      </c>
      <c r="I800" s="183">
        <f ca="1">IFERROR(__xludf.DUMMYFUNCTION("IMPORTRANGE(""https://docs.google.com/spreadsheets/d/1QqKyyYR6Q21VydFLVH3TRQUabQu_ym0Zz7PgGX0-kHA/edit?usp=sharing"",""แผน!JN77"")"),0)</f>
        <v>0</v>
      </c>
      <c r="J800" s="183">
        <f ca="1">IFERROR(__xludf.DUMMYFUNCTION("IMPORTRANGE(""https://docs.google.com/spreadsheets/d/1MaWodYyGHDf7siQLGxnXhG4mBNTNIuy296niS2xXulU/edit?usp=sharing"",""RTK!H77"")"),0)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IFERROR(__xludf.DUMMYFUNCTION("IMPORTRANGE(""https://docs.google.com/spreadsheets/d/1MaWodYyGHDf7siQLGxnXhG4mBNTNIuy296niS2xXulU/edit?usp=sharing"",""RTK!I77"")"),0)</f>
        <v>0</v>
      </c>
      <c r="K801" s="497"/>
      <c r="L801" s="497"/>
      <c r="M801" s="497"/>
      <c r="N801" s="497"/>
      <c r="O801" s="162"/>
      <c r="P801" s="162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321</v>
      </c>
      <c r="G802" s="365"/>
      <c r="H802" s="652" t="s">
        <v>46</v>
      </c>
      <c r="I802" s="165"/>
      <c r="J802" s="616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5"/>
      <c r="H803" s="652" t="s">
        <v>34</v>
      </c>
      <c r="I803" s="165"/>
      <c r="J803" s="616">
        <v>0</v>
      </c>
      <c r="K803" s="166"/>
      <c r="L803" s="166"/>
      <c r="M803" s="166"/>
      <c r="N803" s="166"/>
      <c r="O803" s="166"/>
      <c r="P803" s="166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322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92" t="s">
        <v>17</v>
      </c>
      <c r="E805" s="888"/>
      <c r="F805" s="888"/>
      <c r="G805" s="602"/>
      <c r="H805" s="645" t="s">
        <v>12</v>
      </c>
      <c r="I805" s="616"/>
      <c r="J805" s="616"/>
      <c r="K805" s="92"/>
      <c r="L805" s="646">
        <f>L806+L807</f>
        <v>0</v>
      </c>
      <c r="M805" s="646">
        <f>M806+M807</f>
        <v>0</v>
      </c>
      <c r="N805" s="646">
        <f>N806+N807</f>
        <v>0</v>
      </c>
      <c r="O805" s="646">
        <f t="shared" ref="O805:O810" si="110">IF(L805&gt;0,N805*100/L805,0)</f>
        <v>0</v>
      </c>
      <c r="P805" s="646">
        <f t="shared" ref="P805:P810" si="111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184</v>
      </c>
      <c r="F806" s="758"/>
      <c r="G806" s="602"/>
      <c r="H806" s="164" t="s">
        <v>12</v>
      </c>
      <c r="I806" s="616"/>
      <c r="J806" s="616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185</v>
      </c>
      <c r="F807" s="758"/>
      <c r="G807" s="602"/>
      <c r="H807" s="164" t="s">
        <v>12</v>
      </c>
      <c r="I807" s="616"/>
      <c r="J807" s="616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912" t="s">
        <v>20</v>
      </c>
      <c r="E808" s="888"/>
      <c r="F808" s="888"/>
      <c r="G808" s="602"/>
      <c r="H808" s="645" t="s">
        <v>12</v>
      </c>
      <c r="I808" s="165"/>
      <c r="J808" s="165"/>
      <c r="K808" s="166"/>
      <c r="L808" s="646">
        <f>L809+L810</f>
        <v>0</v>
      </c>
      <c r="M808" s="646">
        <f>M809+M810</f>
        <v>0</v>
      </c>
      <c r="N808" s="646">
        <f>N809+N810</f>
        <v>0</v>
      </c>
      <c r="O808" s="646">
        <f t="shared" si="110"/>
        <v>0</v>
      </c>
      <c r="P808" s="646">
        <f t="shared" si="111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184</v>
      </c>
      <c r="F809" s="758"/>
      <c r="G809" s="602"/>
      <c r="H809" s="164" t="s">
        <v>12</v>
      </c>
      <c r="I809" s="616"/>
      <c r="J809" s="616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185</v>
      </c>
      <c r="F810" s="758"/>
      <c r="G810" s="602"/>
      <c r="H810" s="164" t="s">
        <v>12</v>
      </c>
      <c r="I810" s="616"/>
      <c r="J810" s="616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186</v>
      </c>
      <c r="G811" s="602"/>
      <c r="H811" s="164" t="s">
        <v>12</v>
      </c>
      <c r="I811" s="616"/>
      <c r="J811" s="616"/>
      <c r="K811" s="92"/>
      <c r="L811" s="92"/>
      <c r="M811" s="92"/>
      <c r="N811" s="92"/>
      <c r="O811" s="92"/>
      <c r="P811" s="92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187</v>
      </c>
      <c r="G812" s="602"/>
      <c r="H812" s="164" t="s">
        <v>12</v>
      </c>
      <c r="I812" s="616"/>
      <c r="J812" s="616"/>
      <c r="K812" s="92"/>
      <c r="L812" s="92"/>
      <c r="M812" s="92"/>
      <c r="N812" s="92"/>
      <c r="O812" s="92"/>
      <c r="P812" s="92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188</v>
      </c>
      <c r="G813" s="602"/>
      <c r="H813" s="164" t="s">
        <v>12</v>
      </c>
      <c r="I813" s="616"/>
      <c r="J813" s="616"/>
      <c r="K813" s="92"/>
      <c r="L813" s="92"/>
      <c r="M813" s="92"/>
      <c r="N813" s="92"/>
      <c r="O813" s="92"/>
      <c r="P813" s="92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189</v>
      </c>
      <c r="G814" s="602"/>
      <c r="H814" s="164" t="s">
        <v>12</v>
      </c>
      <c r="I814" s="616"/>
      <c r="J814" s="616"/>
      <c r="K814" s="92"/>
      <c r="L814" s="92"/>
      <c r="M814" s="92"/>
      <c r="N814" s="92"/>
      <c r="O814" s="92"/>
      <c r="P814" s="92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912" t="s">
        <v>21</v>
      </c>
      <c r="E815" s="888"/>
      <c r="F815" s="888"/>
      <c r="G815" s="602"/>
      <c r="H815" s="782" t="s">
        <v>12</v>
      </c>
      <c r="I815" s="165"/>
      <c r="J815" s="165"/>
      <c r="K815" s="166"/>
      <c r="L815" s="646">
        <f>L816+L817</f>
        <v>0</v>
      </c>
      <c r="M815" s="646">
        <f>M816+M817</f>
        <v>0</v>
      </c>
      <c r="N815" s="646">
        <f>N816+N817</f>
        <v>0</v>
      </c>
      <c r="O815" s="646">
        <f>IF(L815&gt;0,N815*100/L815,0)</f>
        <v>0</v>
      </c>
      <c r="P815" s="646">
        <f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37" t="s">
        <v>38</v>
      </c>
      <c r="E818" s="650"/>
      <c r="F818" s="650"/>
      <c r="G818" s="651"/>
      <c r="H818" s="365"/>
      <c r="I818" s="165"/>
      <c r="J818" s="165"/>
      <c r="K818" s="166"/>
      <c r="L818" s="166"/>
      <c r="M818" s="166"/>
      <c r="N818" s="166"/>
      <c r="O818" s="166"/>
      <c r="P818" s="166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323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36" t="s">
        <v>334</v>
      </c>
      <c r="B820" s="834"/>
      <c r="C820" s="834"/>
      <c r="D820" s="835"/>
      <c r="E820" s="834"/>
      <c r="F820" s="834"/>
      <c r="G820" s="833"/>
      <c r="H820" s="832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1"/>
      <c r="J820" s="831"/>
      <c r="K820" s="830"/>
      <c r="L820" s="830"/>
      <c r="M820" s="830"/>
      <c r="N820" s="830"/>
      <c r="O820" s="830"/>
      <c r="P820" s="83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325</v>
      </c>
      <c r="C821" s="762"/>
      <c r="D821" s="574"/>
      <c r="E821" s="762"/>
      <c r="F821" s="762"/>
      <c r="G821" s="188"/>
      <c r="H821" s="622" t="s">
        <v>12</v>
      </c>
      <c r="I821" s="269">
        <f ca="1">IFERROR(__xludf.DUMMYFUNCTION("IMPORTRANGE(""https://docs.google.com/spreadsheets/d/19vJNZY_5yjcGF2XGBMNZRCAIB0Kwfpjp8YEOfu-bneM/edit?usp=sharing"",""งานกองทุน!D77"")"),1143338.1)</f>
        <v>1143338.1000000001</v>
      </c>
      <c r="J821" s="269">
        <f ca="1">IFERROR(__xludf.DUMMYFUNCTION("IMPORTRANGE(""https://docs.google.com/spreadsheets/d/19vJNZY_5yjcGF2XGBMNZRCAIB0Kwfpjp8YEOfu-bneM/edit?usp=sharing"",""งานกองทุน!F77"")"),1068628.63)</f>
        <v>1068628.6299999999</v>
      </c>
      <c r="K821" s="497">
        <f t="shared" ref="K821:K828" ca="1" si="113">IF(I821&gt;0,J821*100/I821,0)</f>
        <v>93.465671265568758</v>
      </c>
      <c r="L821" s="497"/>
      <c r="M821" s="497"/>
      <c r="N821" s="497"/>
      <c r="O821" s="497"/>
      <c r="P821" s="497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8"/>
      <c r="H822" s="622" t="s">
        <v>35</v>
      </c>
      <c r="I822" s="269">
        <f ca="1">IFERROR(__xludf.DUMMYFUNCTION("IMPORTRANGE(""https://docs.google.com/spreadsheets/d/19vJNZY_5yjcGF2XGBMNZRCAIB0Kwfpjp8YEOfu-bneM/edit?usp=sharing"",""งานกองทุน!C77"")"),75)</f>
        <v>75</v>
      </c>
      <c r="J822" s="269">
        <f ca="1">IFERROR(__xludf.DUMMYFUNCTION("IMPORTRANGE(""https://docs.google.com/spreadsheets/d/19vJNZY_5yjcGF2XGBMNZRCAIB0Kwfpjp8YEOfu-bneM/edit?usp=sharing"",""งานกองทุน!E77"")"),73)</f>
        <v>73</v>
      </c>
      <c r="K822" s="497">
        <f t="shared" ca="1" si="113"/>
        <v>97.333333333333329</v>
      </c>
      <c r="L822" s="497"/>
      <c r="M822" s="497"/>
      <c r="N822" s="497"/>
      <c r="O822" s="497"/>
      <c r="P822" s="497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326</v>
      </c>
      <c r="C823" s="762"/>
      <c r="D823" s="574"/>
      <c r="E823" s="762"/>
      <c r="F823" s="762"/>
      <c r="G823" s="188"/>
      <c r="H823" s="622" t="s">
        <v>12</v>
      </c>
      <c r="I823" s="269">
        <f ca="1">IFERROR(__xludf.DUMMYFUNCTION("IMPORTRANGE(""https://docs.google.com/spreadsheets/d/19vJNZY_5yjcGF2XGBMNZRCAIB0Kwfpjp8YEOfu-bneM/edit?usp=sharing"",""งานกองทุน!I77"")"),2117971.62)</f>
        <v>2117971.62</v>
      </c>
      <c r="J823" s="269">
        <f ca="1">IFERROR(__xludf.DUMMYFUNCTION("IMPORTRANGE(""https://docs.google.com/spreadsheets/d/19vJNZY_5yjcGF2XGBMNZRCAIB0Kwfpjp8YEOfu-bneM/edit?usp=sharing"",""งานกองทุน!K77"")"),566291.09)</f>
        <v>566291.09</v>
      </c>
      <c r="K823" s="497">
        <f t="shared" ca="1" si="113"/>
        <v>26.737425782881829</v>
      </c>
      <c r="L823" s="497"/>
      <c r="M823" s="497"/>
      <c r="N823" s="497"/>
      <c r="O823" s="497"/>
      <c r="P823" s="497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8"/>
      <c r="H824" s="622" t="s">
        <v>35</v>
      </c>
      <c r="I824" s="269">
        <f ca="1">IFERROR(__xludf.DUMMYFUNCTION("IMPORTRANGE(""https://docs.google.com/spreadsheets/d/19vJNZY_5yjcGF2XGBMNZRCAIB0Kwfpjp8YEOfu-bneM/edit?usp=sharing"",""งานกองทุน!H77"")"),82)</f>
        <v>82</v>
      </c>
      <c r="J824" s="269">
        <f ca="1">IFERROR(__xludf.DUMMYFUNCTION("IMPORTRANGE(""https://docs.google.com/spreadsheets/d/19vJNZY_5yjcGF2XGBMNZRCAIB0Kwfpjp8YEOfu-bneM/edit?usp=sharing"",""งานกองทุน!J77"")"),50)</f>
        <v>50</v>
      </c>
      <c r="K824" s="497">
        <f t="shared" ca="1" si="113"/>
        <v>60.975609756097562</v>
      </c>
      <c r="L824" s="497"/>
      <c r="M824" s="497"/>
      <c r="N824" s="497"/>
      <c r="O824" s="497"/>
      <c r="P824" s="497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327</v>
      </c>
      <c r="C825" s="762"/>
      <c r="D825" s="574"/>
      <c r="E825" s="762"/>
      <c r="F825" s="762"/>
      <c r="G825" s="188"/>
      <c r="H825" s="622" t="s">
        <v>12</v>
      </c>
      <c r="I825" s="269">
        <f ca="1">IFERROR(__xludf.DUMMYFUNCTION("IMPORTRANGE(""https://docs.google.com/spreadsheets/d/19vJNZY_5yjcGF2XGBMNZRCAIB0Kwfpjp8YEOfu-bneM/edit?usp=sharing"",""งานกองทุน!N77"")"),0)</f>
        <v>0</v>
      </c>
      <c r="J825" s="269">
        <f ca="1">IFERROR(__xludf.DUMMYFUNCTION("IMPORTRANGE(""https://docs.google.com/spreadsheets/d/19vJNZY_5yjcGF2XGBMNZRCAIB0Kwfpjp8YEOfu-bneM/edit?usp=sharing"",""งานกองทุน!P77"")"),0)</f>
        <v>0</v>
      </c>
      <c r="K825" s="497">
        <f t="shared" ca="1" si="113"/>
        <v>0</v>
      </c>
      <c r="L825" s="497"/>
      <c r="M825" s="497"/>
      <c r="N825" s="497"/>
      <c r="O825" s="497"/>
      <c r="P825" s="497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8"/>
      <c r="H826" s="622" t="s">
        <v>35</v>
      </c>
      <c r="I826" s="269">
        <f ca="1">IFERROR(__xludf.DUMMYFUNCTION("IMPORTRANGE(""https://docs.google.com/spreadsheets/d/19vJNZY_5yjcGF2XGBMNZRCAIB0Kwfpjp8YEOfu-bneM/edit?usp=sharing"",""งานกองทุน!M77"")"),0)</f>
        <v>0</v>
      </c>
      <c r="J826" s="269">
        <f ca="1">IFERROR(__xludf.DUMMYFUNCTION("IMPORTRANGE(""https://docs.google.com/spreadsheets/d/19vJNZY_5yjcGF2XGBMNZRCAIB0Kwfpjp8YEOfu-bneM/edit?usp=sharing"",""งานกองทุน!O77"")"),0)</f>
        <v>0</v>
      </c>
      <c r="K826" s="497">
        <f t="shared" ca="1" si="113"/>
        <v>0</v>
      </c>
      <c r="L826" s="497"/>
      <c r="M826" s="497"/>
      <c r="N826" s="497"/>
      <c r="O826" s="497"/>
      <c r="P826" s="497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328</v>
      </c>
      <c r="C827" s="762"/>
      <c r="D827" s="574"/>
      <c r="E827" s="762"/>
      <c r="F827" s="762"/>
      <c r="G827" s="188"/>
      <c r="H827" s="622" t="s">
        <v>12</v>
      </c>
      <c r="I827" s="269">
        <f ca="1">IFERROR(__xludf.DUMMYFUNCTION("IMPORTRANGE(""https://docs.google.com/spreadsheets/d/19vJNZY_5yjcGF2XGBMNZRCAIB0Kwfpjp8YEOfu-bneM/edit?usp=sharing"",""งานกองทุน!S77"")"),980000)</f>
        <v>980000</v>
      </c>
      <c r="J827" s="269">
        <f ca="1">IFERROR(__xludf.DUMMYFUNCTION("IMPORTRANGE(""https://docs.google.com/spreadsheets/d/19vJNZY_5yjcGF2XGBMNZRCAIB0Kwfpjp8YEOfu-bneM/edit?usp=sharing"",""งานกองทุน!U77"")"),1075000)</f>
        <v>1075000</v>
      </c>
      <c r="K827" s="497">
        <f t="shared" ca="1" si="113"/>
        <v>109.69387755102041</v>
      </c>
      <c r="L827" s="497"/>
      <c r="M827" s="497"/>
      <c r="N827" s="497"/>
      <c r="O827" s="497"/>
      <c r="P827" s="497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827"/>
      <c r="B828" s="748"/>
      <c r="C828" s="748"/>
      <c r="D828" s="747"/>
      <c r="E828" s="748"/>
      <c r="F828" s="748"/>
      <c r="G828" s="828"/>
      <c r="H828" s="829" t="s">
        <v>35</v>
      </c>
      <c r="I828" s="505">
        <f ca="1">IFERROR(__xludf.DUMMYFUNCTION("IMPORTRANGE(""https://docs.google.com/spreadsheets/d/19vJNZY_5yjcGF2XGBMNZRCAIB0Kwfpjp8YEOfu-bneM/edit?usp=sharing"",""งานกองทุน!R77"")"),39)</f>
        <v>39</v>
      </c>
      <c r="J828" s="505">
        <f ca="1">IFERROR(__xludf.DUMMYFUNCTION("IMPORTRANGE(""https://docs.google.com/spreadsheets/d/19vJNZY_5yjcGF2XGBMNZRCAIB0Kwfpjp8YEOfu-bneM/edit?usp=sharing"",""งานกองทุน!T77"")"),29)</f>
        <v>29</v>
      </c>
      <c r="K828" s="506">
        <f t="shared" ca="1" si="113"/>
        <v>74.358974358974365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 gridLines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1278E-1062-4B63-9DDE-E5753FF90DDC}">
  <sheetPr>
    <outlinePr summaryBelow="0" summaryRight="0"/>
    <pageSetUpPr fitToPage="1"/>
  </sheetPr>
  <dimension ref="A1:Z828"/>
  <sheetViews>
    <sheetView view="pageBreakPreview" zoomScale="50" zoomScaleNormal="10" zoomScaleSheetLayoutView="50" workbookViewId="0">
      <pane ySplit="6" topLeftCell="A7" activePane="bottomLeft" state="frozen"/>
      <selection activeCell="X18" sqref="X18:X21"/>
      <selection pane="bottomLeft" activeCell="X18" sqref="X18:X2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20.140625" bestFit="1" customWidth="1"/>
    <col min="16" max="16" width="22" bestFit="1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339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354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4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4718438</v>
      </c>
      <c r="M8" s="21">
        <f ca="1">M9+M10</f>
        <v>5236923.8500000006</v>
      </c>
      <c r="N8" s="21">
        <f ca="1">N9+N10</f>
        <v>5236923.8500000006</v>
      </c>
      <c r="O8" s="21">
        <f t="shared" ref="O8:O16" ca="1" si="0">IF(L8&gt;0,N8*100/L8,0)</f>
        <v>110.98850615394333</v>
      </c>
      <c r="P8" s="21">
        <f t="shared" ref="P8:P16" ca="1" si="1">IF(M8&gt;0,N8*100/M8,0)</f>
        <v>100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4718438</v>
      </c>
      <c r="M10" s="29">
        <f t="shared" ca="1" si="2"/>
        <v>5236923.8500000006</v>
      </c>
      <c r="N10" s="29">
        <f t="shared" ca="1" si="2"/>
        <v>5236923.8500000006</v>
      </c>
      <c r="O10" s="29">
        <f t="shared" ca="1" si="0"/>
        <v>110.98850615394333</v>
      </c>
      <c r="P10" s="29">
        <f t="shared" ca="1" si="1"/>
        <v>100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22" t="s">
        <v>12</v>
      </c>
      <c r="I11" s="269"/>
      <c r="J11" s="269"/>
      <c r="K11" s="497"/>
      <c r="L11" s="497">
        <f ca="1">L12+L13</f>
        <v>4044438</v>
      </c>
      <c r="M11" s="497">
        <f ca="1">M12+M13</f>
        <v>4563923.8500000006</v>
      </c>
      <c r="N11" s="497">
        <f ca="1">N12+N13</f>
        <v>4563923.8500000006</v>
      </c>
      <c r="O11" s="497">
        <f t="shared" ca="1" si="0"/>
        <v>112.8444508235755</v>
      </c>
      <c r="P11" s="497">
        <f t="shared" ca="1" si="1"/>
        <v>100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6"/>
      <c r="J12" s="616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6"/>
      <c r="J13" s="616"/>
      <c r="K13" s="92"/>
      <c r="L13" s="92">
        <f t="shared" ca="1" si="3"/>
        <v>4044438</v>
      </c>
      <c r="M13" s="92">
        <f t="shared" ca="1" si="3"/>
        <v>4563923.8500000006</v>
      </c>
      <c r="N13" s="92">
        <f t="shared" ca="1" si="3"/>
        <v>4563923.8500000006</v>
      </c>
      <c r="O13" s="92">
        <f t="shared" ca="1" si="0"/>
        <v>112.8444508235755</v>
      </c>
      <c r="P13" s="92">
        <f t="shared" ca="1" si="1"/>
        <v>100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22" t="s">
        <v>12</v>
      </c>
      <c r="I14" s="269"/>
      <c r="J14" s="269"/>
      <c r="K14" s="497"/>
      <c r="L14" s="497">
        <f ca="1">L15+L16</f>
        <v>674000</v>
      </c>
      <c r="M14" s="497">
        <f ca="1">M15+M16</f>
        <v>673000</v>
      </c>
      <c r="N14" s="497">
        <f ca="1">N15+N16</f>
        <v>673000</v>
      </c>
      <c r="O14" s="497">
        <f t="shared" ca="1" si="0"/>
        <v>99.85163204747775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6"/>
      <c r="J15" s="616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674000</v>
      </c>
      <c r="M16" s="51">
        <f t="shared" ca="1" si="4"/>
        <v>673000</v>
      </c>
      <c r="N16" s="51">
        <f t="shared" ca="1" si="4"/>
        <v>673000</v>
      </c>
      <c r="O16" s="51">
        <f t="shared" ca="1" si="0"/>
        <v>99.85163204747775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3908755</v>
      </c>
      <c r="M18" s="21">
        <f ca="1">M19+M20</f>
        <v>4438687.49</v>
      </c>
      <c r="N18" s="21">
        <f ca="1">N19+N20</f>
        <v>4438687.49</v>
      </c>
      <c r="O18" s="21">
        <f t="shared" ref="O18:O26" ca="1" si="5">IF(L18&gt;0,N18*100/L18,0)</f>
        <v>113.55757754067471</v>
      </c>
      <c r="P18" s="21">
        <f t="shared" ref="P18:P26" ca="1" si="6">IF(M18&gt;0,N18*100/M18,0)</f>
        <v>100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3908755</v>
      </c>
      <c r="M20" s="29">
        <f t="shared" ca="1" si="7"/>
        <v>4438687.49</v>
      </c>
      <c r="N20" s="29">
        <f t="shared" ca="1" si="7"/>
        <v>4438687.49</v>
      </c>
      <c r="O20" s="29">
        <f t="shared" ca="1" si="5"/>
        <v>113.55757754067471</v>
      </c>
      <c r="P20" s="29">
        <f t="shared" ca="1" si="6"/>
        <v>100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22" t="s">
        <v>12</v>
      </c>
      <c r="I21" s="269"/>
      <c r="J21" s="269"/>
      <c r="K21" s="497"/>
      <c r="L21" s="497">
        <f ca="1">L22+L23</f>
        <v>3234755</v>
      </c>
      <c r="M21" s="497">
        <f ca="1">M22+M23</f>
        <v>3765687.49</v>
      </c>
      <c r="N21" s="497">
        <f ca="1">N22+N23</f>
        <v>3765687.49</v>
      </c>
      <c r="O21" s="497">
        <f t="shared" ca="1" si="5"/>
        <v>116.41337566523585</v>
      </c>
      <c r="P21" s="497">
        <f t="shared" ca="1" si="6"/>
        <v>100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6"/>
      <c r="J22" s="616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6"/>
      <c r="J23" s="616"/>
      <c r="K23" s="92"/>
      <c r="L23" s="92">
        <f t="shared" ca="1" si="8"/>
        <v>3234755</v>
      </c>
      <c r="M23" s="92">
        <f t="shared" ca="1" si="8"/>
        <v>3765687.49</v>
      </c>
      <c r="N23" s="92">
        <f t="shared" ca="1" si="8"/>
        <v>3765687.49</v>
      </c>
      <c r="O23" s="92">
        <f t="shared" ca="1" si="5"/>
        <v>116.41337566523585</v>
      </c>
      <c r="P23" s="92">
        <f t="shared" ca="1" si="6"/>
        <v>100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22" t="s">
        <v>12</v>
      </c>
      <c r="I24" s="269"/>
      <c r="J24" s="269"/>
      <c r="K24" s="497"/>
      <c r="L24" s="497">
        <f ca="1">L25+L26</f>
        <v>674000</v>
      </c>
      <c r="M24" s="497">
        <f ca="1">M25+M26</f>
        <v>673000</v>
      </c>
      <c r="N24" s="497">
        <f ca="1">N25+N26</f>
        <v>673000</v>
      </c>
      <c r="O24" s="497">
        <f t="shared" ca="1" si="5"/>
        <v>99.85163204747775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6"/>
      <c r="J25" s="616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674000</v>
      </c>
      <c r="M26" s="51">
        <f t="shared" ca="1" si="9"/>
        <v>673000</v>
      </c>
      <c r="N26" s="51">
        <f t="shared" ca="1" si="9"/>
        <v>673000</v>
      </c>
      <c r="O26" s="51">
        <f t="shared" ca="1" si="5"/>
        <v>99.85163204747775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809683</v>
      </c>
      <c r="M28" s="21">
        <f ca="1">M29+M30</f>
        <v>798236.36</v>
      </c>
      <c r="N28" s="21">
        <f>N29+N30</f>
        <v>798236.36</v>
      </c>
      <c r="O28" s="21">
        <f t="shared" ref="O28:O37" ca="1" si="10">IF(L28&gt;0,N28*100/L28,0)</f>
        <v>98.586281297742445</v>
      </c>
      <c r="P28" s="21">
        <f t="shared" ref="P28:P37" ca="1" si="11">IF(M28&gt;0,N28*100/M28,0)</f>
        <v>100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809683</v>
      </c>
      <c r="M30" s="29">
        <f t="shared" ca="1" si="12"/>
        <v>798236.36</v>
      </c>
      <c r="N30" s="29">
        <f t="shared" si="12"/>
        <v>798236.36</v>
      </c>
      <c r="O30" s="29">
        <f t="shared" ca="1" si="10"/>
        <v>98.586281297742445</v>
      </c>
      <c r="P30" s="29">
        <f t="shared" ca="1" si="11"/>
        <v>100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22" t="s">
        <v>12</v>
      </c>
      <c r="I31" s="269"/>
      <c r="J31" s="269"/>
      <c r="K31" s="497"/>
      <c r="L31" s="497">
        <f ca="1">L32+L33</f>
        <v>809683</v>
      </c>
      <c r="M31" s="497">
        <f ca="1">M32+M33</f>
        <v>798236.36</v>
      </c>
      <c r="N31" s="497">
        <f>N32+N33</f>
        <v>798236.36</v>
      </c>
      <c r="O31" s="497">
        <f t="shared" ca="1" si="10"/>
        <v>98.586281297742445</v>
      </c>
      <c r="P31" s="497">
        <f t="shared" ca="1" si="11"/>
        <v>100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6"/>
      <c r="J32" s="616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6"/>
      <c r="J33" s="616"/>
      <c r="K33" s="92"/>
      <c r="L33" s="92">
        <f t="shared" ca="1" si="13"/>
        <v>809683</v>
      </c>
      <c r="M33" s="92">
        <f t="shared" ca="1" si="13"/>
        <v>798236.36</v>
      </c>
      <c r="N33" s="92">
        <f t="shared" si="13"/>
        <v>798236.36</v>
      </c>
      <c r="O33" s="92">
        <f t="shared" ca="1" si="10"/>
        <v>98.586281297742445</v>
      </c>
      <c r="P33" s="92">
        <f t="shared" ca="1" si="11"/>
        <v>100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22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6"/>
      <c r="J35" s="616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868" t="s">
        <v>24</v>
      </c>
      <c r="B37" s="867"/>
      <c r="C37" s="867"/>
      <c r="D37" s="867"/>
      <c r="E37" s="867"/>
      <c r="F37" s="867"/>
      <c r="G37" s="866"/>
      <c r="H37" s="865"/>
      <c r="I37" s="864"/>
      <c r="J37" s="864"/>
      <c r="K37" s="863"/>
      <c r="L37" s="862">
        <f ca="1">L41+L53+L66+L88+L119+L132+L149+L165+L181+L261+L277+L298+L315+L328+L345+L389+L402</f>
        <v>3908755</v>
      </c>
      <c r="M37" s="862">
        <f ca="1">M41+M53+M66+M88+M119+M132+M149+M165+M181+M261+M277+M298+M315+M328+M345+M389+M402</f>
        <v>4438687.49</v>
      </c>
      <c r="N37" s="862">
        <f ca="1">N41+N53+N66+N88+N119+N132+N149+N165+N181+N261+N277+N298+N315+N328+N345+N389+N402</f>
        <v>4438687.49</v>
      </c>
      <c r="O37" s="862">
        <f t="shared" ca="1" si="10"/>
        <v>113.55757754067471</v>
      </c>
      <c r="P37" s="862">
        <f t="shared" ca="1" si="11"/>
        <v>100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9" t="s">
        <v>27</v>
      </c>
      <c r="C40" s="888"/>
      <c r="D40" s="888"/>
      <c r="E40" s="888"/>
      <c r="F40" s="888"/>
      <c r="G40" s="894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1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614050</v>
      </c>
      <c r="M41" s="84">
        <f ca="1">M42+M43</f>
        <v>662368</v>
      </c>
      <c r="N41" s="84">
        <f ca="1">N42+N43</f>
        <v>662368</v>
      </c>
      <c r="O41" s="84">
        <f t="shared" ref="O41:O49" ca="1" si="15">IF(L41&gt;0,N41*100/L41,0)</f>
        <v>107.86874033059198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614050</v>
      </c>
      <c r="M43" s="91">
        <f t="shared" ca="1" si="17"/>
        <v>662368</v>
      </c>
      <c r="N43" s="91">
        <f t="shared" ca="1" si="17"/>
        <v>662368</v>
      </c>
      <c r="O43" s="91">
        <f t="shared" ca="1" si="15"/>
        <v>107.86874033059198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22" t="s">
        <v>12</v>
      </c>
      <c r="I44" s="269"/>
      <c r="J44" s="269"/>
      <c r="K44" s="497"/>
      <c r="L44" s="497">
        <f ca="1">L45+L46</f>
        <v>614050</v>
      </c>
      <c r="M44" s="497">
        <f ca="1">M45+M46</f>
        <v>662368</v>
      </c>
      <c r="N44" s="497">
        <f ca="1">N45+N46</f>
        <v>662368</v>
      </c>
      <c r="O44" s="497">
        <f t="shared" ca="1" si="15"/>
        <v>107.86874033059198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6"/>
      <c r="J45" s="616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6"/>
      <c r="J46" s="616"/>
      <c r="K46" s="92"/>
      <c r="L46" s="92">
        <f ca="1">IFERROR(__xludf.DUMMYFUNCTION("IMPORTRANGE(""https://docs.google.com/spreadsheets/d/1MeEWN-I1oV_STSDYn1IFDPWt_1FKiwhDph83XaGc0o0/edit?usp=sharing"",""งบพรบ!M78"")"),614050)</f>
        <v>614050</v>
      </c>
      <c r="M46" s="92">
        <f ca="1">IFERROR(__xludf.DUMMYFUNCTION("IMPORTRANGE(""https://docs.google.com/spreadsheets/d/1MeEWN-I1oV_STSDYn1IFDPWt_1FKiwhDph83XaGc0o0/edit?usp=sharing"",""งบพรบ!R78"")"),662368)</f>
        <v>662368</v>
      </c>
      <c r="N46" s="92">
        <f ca="1">IFERROR(__xludf.DUMMYFUNCTION("IMPORTRANGE(""https://docs.google.com/spreadsheets/d/1MeEWN-I1oV_STSDYn1IFDPWt_1FKiwhDph83XaGc0o0/edit?usp=sharing"",""งบพรบ!T78"")"),662368)</f>
        <v>662368</v>
      </c>
      <c r="O46" s="92">
        <f t="shared" ca="1" si="15"/>
        <v>107.86874033059198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22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6"/>
      <c r="J48" s="616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IFERROR(__xludf.DUMMYFUNCTION("IMPORTRANGE(""https://docs.google.com/spreadsheets/d/1MeEWN-I1oV_STSDYn1IFDPWt_1FKiwhDph83XaGc0o0/edit?usp=sharing"",""งบพรบ!P78"")"),0)</f>
        <v>0</v>
      </c>
      <c r="M49" s="51">
        <f ca="1">IFERROR(__xludf.DUMMYFUNCTION("IMPORTRANGE(""https://docs.google.com/spreadsheets/d/1MeEWN-I1oV_STSDYn1IFDPWt_1FKiwhDph83XaGc0o0/edit?usp=sharing"",""งบพรบ!S78"")"),0)</f>
        <v>0</v>
      </c>
      <c r="N49" s="51">
        <f ca="1">IFERROR(__xludf.DUMMYFUNCTION("IMPORTRANGE(""https://docs.google.com/spreadsheets/d/1MeEWN-I1oV_STSDYn1IFDPWt_1FKiwhDph83XaGc0o0/edit?usp=sharing"",""งบพรบ!U78"")"),0)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3" t="s">
        <v>29</v>
      </c>
      <c r="C51" s="888"/>
      <c r="D51" s="888"/>
      <c r="E51" s="888"/>
      <c r="F51" s="888"/>
      <c r="G51" s="894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1100300</v>
      </c>
      <c r="M53" s="115">
        <f ca="1">M54+M55</f>
        <v>1288044.49</v>
      </c>
      <c r="N53" s="115">
        <f ca="1">N54+N55</f>
        <v>1288044.49</v>
      </c>
      <c r="O53" s="115">
        <f t="shared" ref="O53:O61" ca="1" si="18">IF(L53&gt;0,N53*100/L53,0)</f>
        <v>117.06302735617558</v>
      </c>
      <c r="P53" s="115">
        <f t="shared" ref="P53:P61" ca="1" si="19">IF(M53&gt;0,N53*100/M53,0)</f>
        <v>100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1100300</v>
      </c>
      <c r="M55" s="122">
        <f t="shared" ca="1" si="20"/>
        <v>1288044.49</v>
      </c>
      <c r="N55" s="122">
        <f t="shared" ca="1" si="20"/>
        <v>1288044.49</v>
      </c>
      <c r="O55" s="122">
        <f t="shared" ca="1" si="18"/>
        <v>117.06302735617558</v>
      </c>
      <c r="P55" s="122">
        <f t="shared" ca="1" si="19"/>
        <v>100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22" t="s">
        <v>12</v>
      </c>
      <c r="I56" s="269"/>
      <c r="J56" s="269"/>
      <c r="K56" s="497"/>
      <c r="L56" s="497">
        <f ca="1">L57+L58</f>
        <v>750300</v>
      </c>
      <c r="M56" s="497">
        <f ca="1">M57+M58</f>
        <v>938044.49</v>
      </c>
      <c r="N56" s="497">
        <f ca="1">N57+N58</f>
        <v>938044.49</v>
      </c>
      <c r="O56" s="497">
        <f t="shared" ca="1" si="18"/>
        <v>125.02258963081434</v>
      </c>
      <c r="P56" s="497">
        <f t="shared" ca="1" si="19"/>
        <v>100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6"/>
      <c r="J57" s="616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6"/>
      <c r="J58" s="616"/>
      <c r="K58" s="92"/>
      <c r="L58" s="92">
        <f ca="1">IFERROR(__xludf.DUMMYFUNCTION("IMPORTRANGE(""https://docs.google.com/spreadsheets/d/1MeEWN-I1oV_STSDYn1IFDPWt_1FKiwhDph83XaGc0o0/edit?usp=sharing"",""งบพรบ!W78"")"),750300)</f>
        <v>750300</v>
      </c>
      <c r="M58" s="92">
        <f ca="1">IFERROR(__xludf.DUMMYFUNCTION("IMPORTRANGE(""https://docs.google.com/spreadsheets/d/1MeEWN-I1oV_STSDYn1IFDPWt_1FKiwhDph83XaGc0o0/edit?usp=sharing"",""งบพรบ!AB78"")"),938044.49)</f>
        <v>938044.49</v>
      </c>
      <c r="N58" s="92">
        <f ca="1">IFERROR(__xludf.DUMMYFUNCTION("IMPORTRANGE(""https://docs.google.com/spreadsheets/d/1MeEWN-I1oV_STSDYn1IFDPWt_1FKiwhDph83XaGc0o0/edit?usp=sharing"",""งบพรบ!AD78"")"),938044.49)</f>
        <v>938044.49</v>
      </c>
      <c r="O58" s="92">
        <f t="shared" ca="1" si="18"/>
        <v>125.02258963081434</v>
      </c>
      <c r="P58" s="92">
        <f t="shared" ca="1" si="19"/>
        <v>100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22" t="s">
        <v>12</v>
      </c>
      <c r="I59" s="269"/>
      <c r="J59" s="269"/>
      <c r="K59" s="497"/>
      <c r="L59" s="497">
        <f ca="1">L60+L61</f>
        <v>350000</v>
      </c>
      <c r="M59" s="497">
        <f ca="1">M60+M61</f>
        <v>350000</v>
      </c>
      <c r="N59" s="497">
        <f ca="1">N60+N61</f>
        <v>350000</v>
      </c>
      <c r="O59" s="497">
        <f t="shared" ca="1" si="18"/>
        <v>100</v>
      </c>
      <c r="P59" s="497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6"/>
      <c r="J60" s="616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IFERROR(__xludf.DUMMYFUNCTION("IMPORTRANGE(""https://docs.google.com/spreadsheets/d/1MeEWN-I1oV_STSDYn1IFDPWt_1FKiwhDph83XaGc0o0/edit?usp=sharing"",""งบพรบ!Z78"")"),350000)</f>
        <v>350000</v>
      </c>
      <c r="M61" s="51">
        <f ca="1">IFERROR(__xludf.DUMMYFUNCTION("IMPORTRANGE(""https://docs.google.com/spreadsheets/d/1MeEWN-I1oV_STSDYn1IFDPWt_1FKiwhDph83XaGc0o0/edit?usp=sharing"",""งบพรบ!AC78"")"),350000)</f>
        <v>350000</v>
      </c>
      <c r="N61" s="51">
        <f ca="1">IFERROR(__xludf.DUMMYFUNCTION("IMPORTRANGE(""https://docs.google.com/spreadsheets/d/1MeEWN-I1oV_STSDYn1IFDPWt_1FKiwhDph83XaGc0o0/edit?usp=sharing"",""งบพรบ!AE78"")"),350000)</f>
        <v>350000</v>
      </c>
      <c r="O61" s="51">
        <f t="shared" ca="1" si="18"/>
        <v>100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46" t="s">
        <v>17</v>
      </c>
      <c r="E66" s="147"/>
      <c r="F66" s="147"/>
      <c r="G66" s="150"/>
      <c r="H66" s="151" t="s">
        <v>12</v>
      </c>
      <c r="I66" s="420"/>
      <c r="J66" s="420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6"/>
      <c r="J67" s="616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6"/>
      <c r="J68" s="616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IFERROR(__xludf.DUMMYFUNCTION("IMPORTRANGE(""https://docs.google.com/spreadsheets/d/1MeEWN-I1oV_STSDYn1IFDPWt_1FKiwhDph83XaGc0o0/edit?usp=sharing"",""งบพรบ!AG78"")"),0)</f>
        <v>0</v>
      </c>
      <c r="M71" s="92">
        <f ca="1">IFERROR(__xludf.DUMMYFUNCTION("IMPORTRANGE(""https://docs.google.com/spreadsheets/d/1MeEWN-I1oV_STSDYn1IFDPWt_1FKiwhDph83XaGc0o0/edit?usp=sharing"",""งบพรบ!AL78"")"),0)</f>
        <v>0</v>
      </c>
      <c r="N71" s="92">
        <f ca="1">IFERROR(__xludf.DUMMYFUNCTION("IMPORTRANGE(""https://docs.google.com/spreadsheets/d/1MeEWN-I1oV_STSDYn1IFDPWt_1FKiwhDph83XaGc0o0/edit?usp=sharing"",""งบพรบ!AN78"")"),0)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IFERROR(__xludf.DUMMYFUNCTION("IMPORTRANGE(""https://docs.google.com/spreadsheets/d/1MeEWN-I1oV_STSDYn1IFDPWt_1FKiwhDph83XaGc0o0/edit?usp=sharing"",""งบพรบ!AJ78"")"),0)</f>
        <v>0</v>
      </c>
      <c r="M74" s="92">
        <f ca="1">IFERROR(__xludf.DUMMYFUNCTION("IMPORTRANGE(""https://docs.google.com/spreadsheets/d/1MeEWN-I1oV_STSDYn1IFDPWt_1FKiwhDph83XaGc0o0/edit?usp=sharing"",""งบพรบ!AM78"")"),0)</f>
        <v>0</v>
      </c>
      <c r="N74" s="92">
        <f ca="1">IFERROR(__xludf.DUMMYFUNCTION("IMPORTRANGE(""https://docs.google.com/spreadsheets/d/1MeEWN-I1oV_STSDYn1IFDPWt_1FKiwhDph83XaGc0o0/edit?usp=sharing"",""งบพรบ!AO78"")"),0)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47" t="s">
        <v>38</v>
      </c>
      <c r="E75" s="172"/>
      <c r="F75" s="172"/>
      <c r="G75" s="173"/>
      <c r="H75" s="761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7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7" t="s">
        <v>40</v>
      </c>
      <c r="F78" s="447"/>
      <c r="G78" s="178"/>
      <c r="H78" s="763" t="s">
        <v>34</v>
      </c>
      <c r="I78" s="183">
        <f ca="1">IFERROR(__xludf.DUMMYFUNCTION("IMPORTRANGE(""https://docs.google.com/spreadsheets/d/1QqKyyYR6Q21VydFLVH3TRQUabQu_ym0Zz7PgGX0-kHA/edit?usp=sharing"",""แผน!H78"")"),0)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63" t="s">
        <v>35</v>
      </c>
      <c r="I79" s="183">
        <f ca="1">IFERROR(__xludf.DUMMYFUNCTION("IMPORTRANGE(""https://docs.google.com/spreadsheets/d/1QqKyyYR6Q21VydFLVH3TRQUabQu_ym0Zz7PgGX0-kHA/edit?usp=sharing"",""แผน!I78"")"),0)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7" t="s">
        <v>41</v>
      </c>
      <c r="F80" s="447"/>
      <c r="G80" s="178"/>
      <c r="H80" s="763" t="s">
        <v>34</v>
      </c>
      <c r="I80" s="183">
        <f ca="1">IFERROR(__xludf.DUMMYFUNCTION("IMPORTRANGE(""https://docs.google.com/spreadsheets/d/1QqKyyYR6Q21VydFLVH3TRQUabQu_ym0Zz7PgGX0-kHA/edit?usp=sharing"",""แผน!F78"")"),0)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63" t="s">
        <v>35</v>
      </c>
      <c r="I81" s="183">
        <f ca="1">IFERROR(__xludf.DUMMYFUNCTION("IMPORTRANGE(""https://docs.google.com/spreadsheets/d/1QqKyyYR6Q21VydFLVH3TRQUabQu_ym0Zz7PgGX0-kHA/edit?usp=sharing"",""แผน!G78"")"),0)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7" t="s">
        <v>42</v>
      </c>
      <c r="F82" s="447"/>
      <c r="G82" s="178"/>
      <c r="H82" s="763" t="s">
        <v>34</v>
      </c>
      <c r="I82" s="183">
        <f ca="1">IFERROR(__xludf.DUMMYFUNCTION("IMPORTRANGE(""https://docs.google.com/spreadsheets/d/1QqKyyYR6Q21VydFLVH3TRQUabQu_ym0Zz7PgGX0-kHA/edit?usp=sharing"",""แผน!D78"")"),0)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63" t="s">
        <v>35</v>
      </c>
      <c r="I83" s="183">
        <f ca="1">IFERROR(__xludf.DUMMYFUNCTION("IMPORTRANGE(""https://docs.google.com/spreadsheets/d/1QqKyyYR6Q21VydFLVH3TRQUabQu_ym0Zz7PgGX0-kHA/edit?usp=sharing"",""แผน!E78"")"),0)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7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IFERROR(__xludf.DUMMYFUNCTION("IMPORTRANGE(""https://docs.google.com/spreadsheets/d/1QqKyyYR6Q21VydFLVH3TRQUabQu_ym0Zz7PgGX0-kHA/edit?usp=sharing"",""แผน!J78"")"),0)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46" t="s">
        <v>17</v>
      </c>
      <c r="E88" s="147"/>
      <c r="F88" s="147"/>
      <c r="G88" s="150"/>
      <c r="H88" s="151" t="s">
        <v>12</v>
      </c>
      <c r="I88" s="420"/>
      <c r="J88" s="420"/>
      <c r="K88" s="153"/>
      <c r="L88" s="154">
        <f ca="1">L89+L90</f>
        <v>26440</v>
      </c>
      <c r="M88" s="154">
        <f ca="1">M89+M90</f>
        <v>26440</v>
      </c>
      <c r="N88" s="154">
        <f ca="1">N89+N90</f>
        <v>26440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6"/>
      <c r="J89" s="616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6"/>
      <c r="J90" s="616"/>
      <c r="K90" s="92"/>
      <c r="L90" s="92">
        <f t="shared" ca="1" si="27"/>
        <v>26440</v>
      </c>
      <c r="M90" s="92">
        <f t="shared" ca="1" si="27"/>
        <v>26440</v>
      </c>
      <c r="N90" s="92">
        <f t="shared" ca="1" si="27"/>
        <v>26440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26440</v>
      </c>
      <c r="M91" s="497">
        <f ca="1">M92+M93</f>
        <v>26440</v>
      </c>
      <c r="N91" s="497">
        <f ca="1">N92+N93</f>
        <v>26440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IFERROR(__xludf.DUMMYFUNCTION("IMPORTRANGE(""https://docs.google.com/spreadsheets/d/1MeEWN-I1oV_STSDYn1IFDPWt_1FKiwhDph83XaGc0o0/edit?usp=sharing"",""งบพรบ!AQ78"")"),26440)</f>
        <v>26440</v>
      </c>
      <c r="M93" s="92">
        <f ca="1">IFERROR(__xludf.DUMMYFUNCTION("IMPORTRANGE(""https://docs.google.com/spreadsheets/d/1MeEWN-I1oV_STSDYn1IFDPWt_1FKiwhDph83XaGc0o0/edit?usp=sharing"",""งบพรบ!AV78"")"),26440)</f>
        <v>26440</v>
      </c>
      <c r="N93" s="92">
        <f ca="1">IFERROR(__xludf.DUMMYFUNCTION("IMPORTRANGE(""https://docs.google.com/spreadsheets/d/1MeEWN-I1oV_STSDYn1IFDPWt_1FKiwhDph83XaGc0o0/edit?usp=sharing"",""งบพรบ!AX78"")"),26440)</f>
        <v>26440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IFERROR(__xludf.DUMMYFUNCTION("IMPORTRANGE(""https://docs.google.com/spreadsheets/d/1MeEWN-I1oV_STSDYn1IFDPWt_1FKiwhDph83XaGc0o0/edit?usp=sharing"",""งบพรบ!AT78"")"),0)</f>
        <v>0</v>
      </c>
      <c r="M96" s="92">
        <f ca="1">IFERROR(__xludf.DUMMYFUNCTION("IMPORTRANGE(""https://docs.google.com/spreadsheets/d/1MeEWN-I1oV_STSDYn1IFDPWt_1FKiwhDph83XaGc0o0/edit?usp=sharing"",""งบพรบ!AW78"")"),0)</f>
        <v>0</v>
      </c>
      <c r="N96" s="92">
        <f ca="1">IFERROR(__xludf.DUMMYFUNCTION("IMPORTRANGE(""https://docs.google.com/spreadsheets/d/1MeEWN-I1oV_STSDYn1IFDPWt_1FKiwhDph83XaGc0o0/edit?usp=sharing"",""งบพรบ!AY78"")"),0)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47" t="s">
        <v>38</v>
      </c>
      <c r="E97" s="172"/>
      <c r="F97" s="172"/>
      <c r="G97" s="173"/>
      <c r="H97" s="761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7" t="s">
        <v>47</v>
      </c>
      <c r="E98" s="447"/>
      <c r="F98" s="177"/>
      <c r="G98" s="178"/>
      <c r="H98" s="622" t="s">
        <v>46</v>
      </c>
      <c r="I98" s="269">
        <f ca="1">IFERROR(__xludf.DUMMYFUNCTION("IMPORTRANGE(""https://docs.google.com/spreadsheets/d/1QqKyyYR6Q21VydFLVH3TRQUabQu_ym0Zz7PgGX0-kHA/edit?usp=sharing"",""แผน!K78"")"),30)</f>
        <v>30</v>
      </c>
      <c r="J98" s="269">
        <f>J102</f>
        <v>30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7" t="s">
        <v>48</v>
      </c>
      <c r="E99" s="447"/>
      <c r="F99" s="177"/>
      <c r="G99" s="178"/>
      <c r="H99" s="622" t="s">
        <v>35</v>
      </c>
      <c r="I99" s="269">
        <f ca="1">IFERROR(__xludf.DUMMYFUNCTION("IMPORTRANGE(""https://docs.google.com/spreadsheets/d/1QqKyyYR6Q21VydFLVH3TRQUabQu_ym0Zz7PgGX0-kHA/edit?usp=sharing"",""แผน!L78"")"),10)</f>
        <v>10</v>
      </c>
      <c r="J99" s="269">
        <f>J104</f>
        <v>10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22" t="s">
        <v>49</v>
      </c>
      <c r="I100" s="269">
        <f ca="1">IFERROR(__xludf.DUMMYFUNCTION("IMPORTRANGE(""https://docs.google.com/spreadsheets/d/1QqKyyYR6Q21VydFLVH3TRQUabQu_ym0Zz7PgGX0-kHA/edit?usp=sharing"",""แผน!M78"")"),0)</f>
        <v>0</v>
      </c>
      <c r="J100" s="269">
        <f>J107+J110</f>
        <v>0</v>
      </c>
      <c r="K100" s="497">
        <f ca="1">IF(I100&gt;0,J100*100/I100,0)</f>
        <v>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22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5" t="s">
        <v>47</v>
      </c>
      <c r="F102" s="177"/>
      <c r="G102" s="178"/>
      <c r="H102" s="622" t="s">
        <v>46</v>
      </c>
      <c r="I102" s="269">
        <f ca="1">IFERROR(__xludf.DUMMYFUNCTION("IMPORTRANGE(""https://docs.google.com/spreadsheets/d/1QqKyyYR6Q21VydFLVH3TRQUabQu_ym0Zz7PgGX0-kHA/edit?usp=sharing"",""แผน!N78"")"),30)</f>
        <v>30</v>
      </c>
      <c r="J102" s="214">
        <v>30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7" t="s">
        <v>51</v>
      </c>
      <c r="F103" s="177"/>
      <c r="G103" s="178"/>
      <c r="H103" s="622" t="s">
        <v>35</v>
      </c>
      <c r="I103" s="269">
        <f ca="1">IFERROR(__xludf.DUMMYFUNCTION("IMPORTRANGE(""https://docs.google.com/spreadsheets/d/1QqKyyYR6Q21VydFLVH3TRQUabQu_ym0Zz7PgGX0-kHA/edit?usp=sharing"",""แผน!O78"")"),10)</f>
        <v>10</v>
      </c>
      <c r="J103" s="214">
        <v>10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22" t="s">
        <v>35</v>
      </c>
      <c r="I104" s="269">
        <f ca="1">IFERROR(__xludf.DUMMYFUNCTION("IMPORTRANGE(""https://docs.google.com/spreadsheets/d/1QqKyyYR6Q21VydFLVH3TRQUabQu_ym0Zz7PgGX0-kHA/edit?usp=sharing"",""แผน!O78"")"),10)</f>
        <v>10</v>
      </c>
      <c r="J104" s="214">
        <v>10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7" t="s">
        <v>54</v>
      </c>
      <c r="F106" s="177"/>
      <c r="G106" s="178"/>
      <c r="H106" s="622" t="s">
        <v>49</v>
      </c>
      <c r="I106" s="269">
        <f ca="1">IFERROR(__xludf.DUMMYFUNCTION("IMPORTRANGE(""https://docs.google.com/spreadsheets/d/1QqKyyYR6Q21VydFLVH3TRQUabQu_ym0Zz7PgGX0-kHA/edit?usp=sharing"",""แผน!P78"")"),0)</f>
        <v>0</v>
      </c>
      <c r="J106" s="214">
        <v>0</v>
      </c>
      <c r="K106" s="497">
        <f ca="1">IF(I106&gt;0,J106*100/I106,0)</f>
        <v>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22" t="s">
        <v>49</v>
      </c>
      <c r="I107" s="269">
        <f ca="1">IFERROR(__xludf.DUMMYFUNCTION("IMPORTRANGE(""https://docs.google.com/spreadsheets/d/1QqKyyYR6Q21VydFLVH3TRQUabQu_ym0Zz7PgGX0-kHA/edit?usp=sharing"",""แผน!P78"")"),0)</f>
        <v>0</v>
      </c>
      <c r="J107" s="214">
        <v>0</v>
      </c>
      <c r="K107" s="497">
        <f ca="1">IF(I107&gt;0,J107*100/I107,0)</f>
        <v>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7" t="s">
        <v>57</v>
      </c>
      <c r="F109" s="177"/>
      <c r="G109" s="178"/>
      <c r="H109" s="622" t="s">
        <v>49</v>
      </c>
      <c r="I109" s="269">
        <f ca="1">IFERROR(__xludf.DUMMYFUNCTION("IMPORTRANGE(""https://docs.google.com/spreadsheets/d/1QqKyyYR6Q21VydFLVH3TRQUabQu_ym0Zz7PgGX0-kHA/edit?usp=sharing"",""แผน!Q78"")"),0)</f>
        <v>0</v>
      </c>
      <c r="J109" s="214">
        <v>0</v>
      </c>
      <c r="K109" s="497">
        <f t="shared" ref="K109:K116" ca="1" si="28">IF(I109&gt;0,J109*100/I109,0)</f>
        <v>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22" t="s">
        <v>49</v>
      </c>
      <c r="I110" s="269">
        <f ca="1">IFERROR(__xludf.DUMMYFUNCTION("IMPORTRANGE(""https://docs.google.com/spreadsheets/d/1QqKyyYR6Q21VydFLVH3TRQUabQu_ym0Zz7PgGX0-kHA/edit?usp=sharing"",""แผน!Q78"")"),0)</f>
        <v>0</v>
      </c>
      <c r="J110" s="214">
        <v>0</v>
      </c>
      <c r="K110" s="497">
        <f t="shared" ca="1" si="28"/>
        <v>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6" t="s">
        <v>35</v>
      </c>
      <c r="I111" s="192">
        <f ca="1">IFERROR(__xludf.DUMMYFUNCTION("IMPORTRANGE(""https://docs.google.com/spreadsheets/d/1QqKyyYR6Q21VydFLVH3TRQUabQu_ym0Zz7PgGX0-kHA/edit?usp=sharing"",""แผน!R78"")"),10)</f>
        <v>10</v>
      </c>
      <c r="J111" s="680">
        <f>J114</f>
        <v>10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0</v>
      </c>
      <c r="J112" s="680">
        <f>J115+J116</f>
        <v>0</v>
      </c>
      <c r="K112" s="194">
        <f t="shared" ca="1" si="28"/>
        <v>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31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IFERROR(__xludf.DUMMYFUNCTION("IMPORTRANGE(""https://docs.google.com/spreadsheets/d/1QqKyyYR6Q21VydFLVH3TRQUabQu_ym0Zz7PgGX0-kHA/edit?usp=sharing"",""แผน!R78"")"),10)</f>
        <v>10</v>
      </c>
      <c r="J113" s="214">
        <v>10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7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IFERROR(__xludf.DUMMYFUNCTION("IMPORTRANGE(""https://docs.google.com/spreadsheets/d/1QqKyyYR6Q21VydFLVH3TRQUabQu_ym0Zz7PgGX0-kHA/edit?usp=sharing"",""แผน!R78"")"),10)</f>
        <v>10</v>
      </c>
      <c r="J114" s="214">
        <v>10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7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IFERROR(__xludf.DUMMYFUNCTION("IMPORTRANGE(""https://docs.google.com/spreadsheets/d/1QqKyyYR6Q21VydFLVH3TRQUabQu_ym0Zz7PgGX0-kHA/edit?usp=sharing"",""แผน!S78"")"),0)</f>
        <v>0</v>
      </c>
      <c r="J115" s="214">
        <v>0</v>
      </c>
      <c r="K115" s="497">
        <f t="shared" ca="1" si="28"/>
        <v>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7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IFERROR(__xludf.DUMMYFUNCTION("IMPORTRANGE(""https://docs.google.com/spreadsheets/d/1QqKyyYR6Q21VydFLVH3TRQUabQu_ym0Zz7PgGX0-kHA/edit?usp=sharing"",""แผน!T78"")"),0)</f>
        <v>0</v>
      </c>
      <c r="J116" s="214">
        <v>0</v>
      </c>
      <c r="K116" s="497">
        <f t="shared" ca="1" si="28"/>
        <v>0</v>
      </c>
      <c r="L116" s="497"/>
      <c r="M116" s="497"/>
      <c r="N116" s="497"/>
      <c r="O116" s="162"/>
      <c r="P116" s="162"/>
    </row>
    <row r="117" spans="1:26" ht="19.5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>
      <c r="A118" s="137"/>
      <c r="B118" s="208" t="s">
        <v>65</v>
      </c>
      <c r="C118" s="203"/>
      <c r="D118" s="140"/>
      <c r="E118" s="139"/>
      <c r="F118" s="139"/>
      <c r="G118" s="141"/>
      <c r="H118" s="204" t="s">
        <v>66</v>
      </c>
      <c r="I118" s="207">
        <v>0</v>
      </c>
      <c r="J118" s="207">
        <v>0</v>
      </c>
      <c r="K118" s="145">
        <f>IF(I118&gt;0,J118*100/I118,0)</f>
        <v>0</v>
      </c>
      <c r="L118" s="145"/>
      <c r="M118" s="145"/>
      <c r="N118" s="145"/>
      <c r="O118" s="145"/>
      <c r="P118" s="145"/>
    </row>
    <row r="119" spans="1:26" ht="19.5">
      <c r="A119" s="146"/>
      <c r="B119" s="147"/>
      <c r="C119" s="148" t="s">
        <v>16</v>
      </c>
      <c r="D119" s="846" t="s">
        <v>17</v>
      </c>
      <c r="E119" s="147"/>
      <c r="F119" s="147"/>
      <c r="G119" s="150"/>
      <c r="H119" s="151" t="s">
        <v>12</v>
      </c>
      <c r="I119" s="420"/>
      <c r="J119" s="420"/>
      <c r="K119" s="153"/>
      <c r="L119" s="154">
        <f ca="1">L120+L121</f>
        <v>42000</v>
      </c>
      <c r="M119" s="154">
        <f ca="1">M120+M121</f>
        <v>42000</v>
      </c>
      <c r="N119" s="154">
        <f ca="1">N120+N121</f>
        <v>42000</v>
      </c>
      <c r="O119" s="154">
        <f t="shared" ref="O119:O127" ca="1" si="29">IF(L119&gt;0,N119*100/L119,0)</f>
        <v>100</v>
      </c>
      <c r="P119" s="154">
        <f t="shared" ref="P119:P127" ca="1" si="30">IF(M119&gt;0,N119*100/M119,0)</f>
        <v>100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6"/>
      <c r="J120" s="616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6"/>
      <c r="J121" s="616"/>
      <c r="K121" s="92"/>
      <c r="L121" s="92">
        <f t="shared" ca="1" si="31"/>
        <v>42000</v>
      </c>
      <c r="M121" s="92">
        <f t="shared" ca="1" si="31"/>
        <v>42000</v>
      </c>
      <c r="N121" s="92">
        <f t="shared" ca="1" si="31"/>
        <v>42000</v>
      </c>
      <c r="O121" s="92">
        <f t="shared" ca="1" si="29"/>
        <v>100</v>
      </c>
      <c r="P121" s="92">
        <f t="shared" ca="1" si="30"/>
        <v>100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IFERROR(__xludf.DUMMYFUNCTION("IMPORTRANGE(""https://docs.google.com/spreadsheets/d/1MeEWN-I1oV_STSDYn1IFDPWt_1FKiwhDph83XaGc0o0/edit?usp=sharing"",""งบพรบ!BA78"")"),0)</f>
        <v>0</v>
      </c>
      <c r="M124" s="92">
        <f ca="1">IFERROR(__xludf.DUMMYFUNCTION("IMPORTRANGE(""https://docs.google.com/spreadsheets/d/1MeEWN-I1oV_STSDYn1IFDPWt_1FKiwhDph83XaGc0o0/edit?usp=sharing"",""งบพรบ!BF78"")"),0)</f>
        <v>0</v>
      </c>
      <c r="N124" s="92">
        <f ca="1">IFERROR(__xludf.DUMMYFUNCTION("IMPORTRANGE(""https://docs.google.com/spreadsheets/d/1MeEWN-I1oV_STSDYn1IFDPWt_1FKiwhDph83XaGc0o0/edit?usp=sharing"",""งบพรบ!BH78"")"),0)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42000</v>
      </c>
      <c r="M125" s="497">
        <f ca="1">M126+M127</f>
        <v>42000</v>
      </c>
      <c r="N125" s="497">
        <f ca="1">N126+N127</f>
        <v>42000</v>
      </c>
      <c r="O125" s="497">
        <f t="shared" ca="1" si="29"/>
        <v>100</v>
      </c>
      <c r="P125" s="497">
        <f t="shared" ca="1" si="30"/>
        <v>100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IFERROR(__xludf.DUMMYFUNCTION("IMPORTRANGE(""https://docs.google.com/spreadsheets/d/1MeEWN-I1oV_STSDYn1IFDPWt_1FKiwhDph83XaGc0o0/edit?usp=sharing"",""งบพรบ!BD78"")"),42000)</f>
        <v>42000</v>
      </c>
      <c r="M127" s="92">
        <f ca="1">IFERROR(__xludf.DUMMYFUNCTION("IMPORTRANGE(""https://docs.google.com/spreadsheets/d/1MeEWN-I1oV_STSDYn1IFDPWt_1FKiwhDph83XaGc0o0/edit?usp=sharing"",""งบพรบ!BG78"")"),42000)</f>
        <v>42000</v>
      </c>
      <c r="N127" s="92">
        <f ca="1">IFERROR(__xludf.DUMMYFUNCTION("IMPORTRANGE(""https://docs.google.com/spreadsheets/d/1MeEWN-I1oV_STSDYn1IFDPWt_1FKiwhDph83XaGc0o0/edit?usp=sharing"",""งบพรบ!BI78"")"),42000)</f>
        <v>42000</v>
      </c>
      <c r="O127" s="92">
        <f t="shared" ca="1" si="29"/>
        <v>100</v>
      </c>
      <c r="P127" s="92">
        <f t="shared" ca="1" si="30"/>
        <v>100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2</v>
      </c>
      <c r="J130" s="143">
        <f>J146</f>
        <v>2</v>
      </c>
      <c r="K130" s="144">
        <f ca="1">IF(I130&gt;0,J130*100/I130,0)</f>
        <v>100</v>
      </c>
      <c r="L130" s="145"/>
      <c r="M130" s="145"/>
      <c r="N130" s="145"/>
      <c r="O130" s="145"/>
      <c r="P130" s="145"/>
    </row>
    <row r="131" spans="1:26" ht="19.5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20</v>
      </c>
      <c r="J131" s="143">
        <f ca="1">J143</f>
        <v>20</v>
      </c>
      <c r="K131" s="144">
        <f ca="1">IF(I131&gt;0,J131*100/I131,0)</f>
        <v>100</v>
      </c>
      <c r="L131" s="145"/>
      <c r="M131" s="145"/>
      <c r="N131" s="145"/>
      <c r="O131" s="145"/>
      <c r="P131" s="145"/>
    </row>
    <row r="132" spans="1:26" ht="19.5">
      <c r="A132" s="146"/>
      <c r="B132" s="147"/>
      <c r="C132" s="148" t="s">
        <v>16</v>
      </c>
      <c r="D132" s="846" t="s">
        <v>17</v>
      </c>
      <c r="E132" s="147"/>
      <c r="F132" s="147"/>
      <c r="G132" s="150"/>
      <c r="H132" s="151" t="s">
        <v>12</v>
      </c>
      <c r="I132" s="420"/>
      <c r="J132" s="420"/>
      <c r="K132" s="153"/>
      <c r="L132" s="154">
        <f ca="1">L133+L134</f>
        <v>303310</v>
      </c>
      <c r="M132" s="154">
        <f ca="1">M133+M134</f>
        <v>303310</v>
      </c>
      <c r="N132" s="154">
        <f ca="1">N133+N134</f>
        <v>303310</v>
      </c>
      <c r="O132" s="154">
        <f t="shared" ref="O132:O140" ca="1" si="32">IF(L132&gt;0,N132*100/L132,0)</f>
        <v>100</v>
      </c>
      <c r="P132" s="154">
        <f t="shared" ref="P132:P140" ca="1" si="33">IF(M132&gt;0,N132*100/M132,0)</f>
        <v>100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6"/>
      <c r="J133" s="616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6"/>
      <c r="J134" s="616"/>
      <c r="K134" s="92"/>
      <c r="L134" s="92">
        <f t="shared" ca="1" si="34"/>
        <v>303310</v>
      </c>
      <c r="M134" s="92">
        <f t="shared" ca="1" si="34"/>
        <v>303310</v>
      </c>
      <c r="N134" s="92">
        <f t="shared" ca="1" si="34"/>
        <v>303310</v>
      </c>
      <c r="O134" s="92">
        <f t="shared" ca="1" si="32"/>
        <v>100</v>
      </c>
      <c r="P134" s="92">
        <f t="shared" ca="1" si="33"/>
        <v>100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97310</v>
      </c>
      <c r="M135" s="497">
        <f ca="1">M136+M137</f>
        <v>97310</v>
      </c>
      <c r="N135" s="497">
        <f ca="1">N136+N137</f>
        <v>97310</v>
      </c>
      <c r="O135" s="497">
        <f t="shared" ca="1" si="32"/>
        <v>100</v>
      </c>
      <c r="P135" s="497">
        <f t="shared" ca="1" si="33"/>
        <v>100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IFERROR(__xludf.DUMMYFUNCTION("IMPORTRANGE(""https://docs.google.com/spreadsheets/d/1MeEWN-I1oV_STSDYn1IFDPWt_1FKiwhDph83XaGc0o0/edit?usp=sharing"",""งบพรบ!BK78"")"),97310)</f>
        <v>97310</v>
      </c>
      <c r="M137" s="92">
        <f ca="1">IFERROR(__xludf.DUMMYFUNCTION("IMPORTRANGE(""https://docs.google.com/spreadsheets/d/1MeEWN-I1oV_STSDYn1IFDPWt_1FKiwhDph83XaGc0o0/edit?usp=sharing"",""งบพรบ!BP78"")"),97310)</f>
        <v>97310</v>
      </c>
      <c r="N137" s="92">
        <f ca="1">IFERROR(__xludf.DUMMYFUNCTION("IMPORTRANGE(""https://docs.google.com/spreadsheets/d/1MeEWN-I1oV_STSDYn1IFDPWt_1FKiwhDph83XaGc0o0/edit?usp=sharing"",""งบพรบ!BR78"")"),97310)</f>
        <v>97310</v>
      </c>
      <c r="O137" s="92">
        <f t="shared" ca="1" si="32"/>
        <v>100</v>
      </c>
      <c r="P137" s="92">
        <f t="shared" ca="1" si="33"/>
        <v>100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206000</v>
      </c>
      <c r="M138" s="497">
        <f ca="1">M139+M140</f>
        <v>206000</v>
      </c>
      <c r="N138" s="497">
        <f ca="1">N139+N140</f>
        <v>206000</v>
      </c>
      <c r="O138" s="497">
        <f t="shared" ca="1" si="32"/>
        <v>100</v>
      </c>
      <c r="P138" s="497">
        <f t="shared" ca="1" si="33"/>
        <v>100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IFERROR(__xludf.DUMMYFUNCTION("IMPORTRANGE(""https://docs.google.com/spreadsheets/d/1MeEWN-I1oV_STSDYn1IFDPWt_1FKiwhDph83XaGc0o0/edit?usp=sharing"",""งบพรบ!BN78"")"),206000)</f>
        <v>206000</v>
      </c>
      <c r="M140" s="92">
        <f ca="1">IFERROR(__xludf.DUMMYFUNCTION("IMPORTRANGE(""https://docs.google.com/spreadsheets/d/1MeEWN-I1oV_STSDYn1IFDPWt_1FKiwhDph83XaGc0o0/edit?usp=sharing"",""งบพรบ!BQ78"")"),206000)</f>
        <v>206000</v>
      </c>
      <c r="N140" s="92">
        <f ca="1">IFERROR(__xludf.DUMMYFUNCTION("IMPORTRANGE(""https://docs.google.com/spreadsheets/d/1MeEWN-I1oV_STSDYn1IFDPWt_1FKiwhDph83XaGc0o0/edit?usp=sharing"",""งบพรบ!BS78"")"),206000)</f>
        <v>206000</v>
      </c>
      <c r="O140" s="92">
        <f t="shared" ca="1" si="32"/>
        <v>100</v>
      </c>
      <c r="P140" s="92">
        <f t="shared" ca="1" si="33"/>
        <v>100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>
      <c r="A141" s="169"/>
      <c r="B141" s="170"/>
      <c r="C141" s="148" t="s">
        <v>16</v>
      </c>
      <c r="D141" s="84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20</v>
      </c>
      <c r="J143" s="269">
        <f ca="1">IF(AND(J144&gt;=I144,J145&gt;=I145),J145,0)</f>
        <v>20</v>
      </c>
      <c r="K143" s="497">
        <f ca="1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IFERROR(__xludf.DUMMYFUNCTION("IMPORTRANGE(""https://docs.google.com/spreadsheets/d/1QqKyyYR6Q21VydFLVH3TRQUabQu_ym0Zz7PgGX0-kHA/edit?usp=sharing"",""แผน!U78"")"),10)</f>
        <v>10</v>
      </c>
      <c r="J144" s="214">
        <v>20</v>
      </c>
      <c r="K144" s="497">
        <f ca="1">IF(I144&gt;0,J144*100/I144,0)</f>
        <v>200</v>
      </c>
      <c r="L144" s="497"/>
      <c r="M144" s="497"/>
      <c r="N144" s="497"/>
      <c r="O144" s="497"/>
      <c r="P144" s="497"/>
    </row>
    <row r="145" spans="1:26" ht="19.5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IFERROR(__xludf.DUMMYFUNCTION("IMPORTRANGE(""https://docs.google.com/spreadsheets/d/1QqKyyYR6Q21VydFLVH3TRQUabQu_ym0Zz7PgGX0-kHA/edit?usp=sharing"",""แผน!V78"")"),20)</f>
        <v>20</v>
      </c>
      <c r="J145" s="214">
        <v>20</v>
      </c>
      <c r="K145" s="497">
        <f ca="1">IF(I145&gt;0,J145*100/I145,0)</f>
        <v>100</v>
      </c>
      <c r="L145" s="497"/>
      <c r="M145" s="497"/>
      <c r="N145" s="497"/>
      <c r="O145" s="497"/>
      <c r="P145" s="497"/>
    </row>
    <row r="146" spans="1:26" ht="19.5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IFERROR(__xludf.DUMMYFUNCTION("IMPORTRANGE(""https://docs.google.com/spreadsheets/d/1QqKyyYR6Q21VydFLVH3TRQUabQu_ym0Zz7PgGX0-kHA/edit?usp=sharing"",""แผน!W78"")"),2)</f>
        <v>2</v>
      </c>
      <c r="J146" s="214">
        <v>2</v>
      </c>
      <c r="K146" s="497">
        <f ca="1">IF(I146&gt;0,J146*100/I146,0)</f>
        <v>100</v>
      </c>
      <c r="L146" s="497"/>
      <c r="M146" s="497"/>
      <c r="N146" s="497"/>
      <c r="O146" s="497"/>
      <c r="P146" s="497"/>
    </row>
    <row r="147" spans="1:26" ht="19.5" hidden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 hidden="1">
      <c r="A148" s="216"/>
      <c r="B148" s="208" t="s">
        <v>77</v>
      </c>
      <c r="C148" s="208"/>
      <c r="D148" s="208"/>
      <c r="E148" s="859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6"/>
      <c r="B149" s="147"/>
      <c r="C149" s="148" t="s">
        <v>16</v>
      </c>
      <c r="D149" s="846" t="s">
        <v>17</v>
      </c>
      <c r="E149" s="147"/>
      <c r="F149" s="147"/>
      <c r="G149" s="150"/>
      <c r="H149" s="151" t="s">
        <v>12</v>
      </c>
      <c r="I149" s="420"/>
      <c r="J149" s="420"/>
      <c r="K149" s="153"/>
      <c r="L149" s="154">
        <f ca="1">L150+L151</f>
        <v>0</v>
      </c>
      <c r="M149" s="154">
        <f ca="1">M150+M151</f>
        <v>0</v>
      </c>
      <c r="N149" s="154">
        <f ca="1">N150+N151</f>
        <v>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6"/>
      <c r="J150" s="616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6"/>
      <c r="J151" s="616"/>
      <c r="K151" s="92"/>
      <c r="L151" s="92">
        <f t="shared" ca="1" si="37"/>
        <v>0</v>
      </c>
      <c r="M151" s="92">
        <f t="shared" ca="1" si="37"/>
        <v>0</v>
      </c>
      <c r="N151" s="92">
        <f t="shared" ca="1" si="37"/>
        <v>0</v>
      </c>
      <c r="O151" s="92">
        <f t="shared" ca="1" si="35"/>
        <v>0</v>
      </c>
      <c r="P151" s="92">
        <f t="shared" ca="1" si="36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0</v>
      </c>
      <c r="N152" s="497">
        <f ca="1">N153+N154</f>
        <v>0</v>
      </c>
      <c r="O152" s="497">
        <f t="shared" ca="1" si="35"/>
        <v>0</v>
      </c>
      <c r="P152" s="497">
        <f t="shared" ca="1" si="36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IFERROR(__xludf.DUMMYFUNCTION("IMPORTRANGE(""https://docs.google.com/spreadsheets/d/1MeEWN-I1oV_STSDYn1IFDPWt_1FKiwhDph83XaGc0o0/edit?usp=sharing"",""งบพรบ!BU78"")"),0)</f>
        <v>0</v>
      </c>
      <c r="M154" s="92">
        <f ca="1">IFERROR(__xludf.DUMMYFUNCTION("IMPORTRANGE(""https://docs.google.com/spreadsheets/d/1MeEWN-I1oV_STSDYn1IFDPWt_1FKiwhDph83XaGc0o0/edit?usp=sharing"",""งบพรบ!BZ78"")"),0)</f>
        <v>0</v>
      </c>
      <c r="N154" s="92">
        <f ca="1">IFERROR(__xludf.DUMMYFUNCTION("IMPORTRANGE(""https://docs.google.com/spreadsheets/d/1MeEWN-I1oV_STSDYn1IFDPWt_1FKiwhDph83XaGc0o0/edit?usp=sharing"",""งบพรบ!CB78"")"),0)</f>
        <v>0</v>
      </c>
      <c r="O154" s="92">
        <f t="shared" ca="1" si="35"/>
        <v>0</v>
      </c>
      <c r="P154" s="92">
        <f t="shared" ca="1" si="36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IFERROR(__xludf.DUMMYFUNCTION("IMPORTRANGE(""https://docs.google.com/spreadsheets/d/1MeEWN-I1oV_STSDYn1IFDPWt_1FKiwhDph83XaGc0o0/edit?usp=sharing"",""งบพรบ!BX78"")"),0)</f>
        <v>0</v>
      </c>
      <c r="M157" s="92">
        <f ca="1">IFERROR(__xludf.DUMMYFUNCTION("IMPORTRANGE(""https://docs.google.com/spreadsheets/d/1MeEWN-I1oV_STSDYn1IFDPWt_1FKiwhDph83XaGc0o0/edit?usp=sharing"",""งบพรบ!CA78"")"),0)</f>
        <v>0</v>
      </c>
      <c r="N157" s="92">
        <f ca="1">IFERROR(__xludf.DUMMYFUNCTION("IMPORTRANGE(""https://docs.google.com/spreadsheets/d/1MeEWN-I1oV_STSDYn1IFDPWt_1FKiwhDph83XaGc0o0/edit?usp=sharing"",""งบพรบ!CC78"")"),0)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4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IFERROR(__xludf.DUMMYFUNCTION("IMPORTRANGE(""https://docs.google.com/spreadsheets/d/1QqKyyYR6Q21VydFLVH3TRQUabQu_ym0Zz7PgGX0-kHA/edit?usp=sharing"",""แผน!X78"")"),0)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6"/>
      <c r="J160" s="616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58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13</v>
      </c>
      <c r="J164" s="252">
        <f>J174+J177</f>
        <v>13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46" t="s">
        <v>17</v>
      </c>
      <c r="E165" s="147"/>
      <c r="F165" s="147"/>
      <c r="G165" s="150"/>
      <c r="H165" s="151" t="s">
        <v>12</v>
      </c>
      <c r="I165" s="420"/>
      <c r="J165" s="420"/>
      <c r="K165" s="153"/>
      <c r="L165" s="154">
        <f ca="1">L166+L167</f>
        <v>24065</v>
      </c>
      <c r="M165" s="154">
        <f ca="1">M166+M167</f>
        <v>68795</v>
      </c>
      <c r="N165" s="154">
        <f ca="1">N166+N167</f>
        <v>68795</v>
      </c>
      <c r="O165" s="154">
        <f t="shared" ref="O165:O173" ca="1" si="38">IF(L165&gt;0,N165*100/L165,0)</f>
        <v>285.87159775607728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6"/>
      <c r="J166" s="616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6"/>
      <c r="J167" s="616"/>
      <c r="K167" s="92"/>
      <c r="L167" s="92">
        <f t="shared" ca="1" si="40"/>
        <v>24065</v>
      </c>
      <c r="M167" s="92">
        <f t="shared" ca="1" si="40"/>
        <v>68795</v>
      </c>
      <c r="N167" s="92">
        <f t="shared" ca="1" si="40"/>
        <v>68795</v>
      </c>
      <c r="O167" s="92">
        <f t="shared" ca="1" si="38"/>
        <v>285.87159775607728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24065</v>
      </c>
      <c r="M168" s="497">
        <f ca="1">M169+M170</f>
        <v>68795</v>
      </c>
      <c r="N168" s="497">
        <f ca="1">N169+N170</f>
        <v>68795</v>
      </c>
      <c r="O168" s="497">
        <f t="shared" ca="1" si="38"/>
        <v>285.87159775607728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IFERROR(__xludf.DUMMYFUNCTION("IMPORTRANGE(""https://docs.google.com/spreadsheets/d/1MeEWN-I1oV_STSDYn1IFDPWt_1FKiwhDph83XaGc0o0/edit?usp=sharing"",""งบพรบ!CE78"")"),24065)</f>
        <v>24065</v>
      </c>
      <c r="M170" s="92">
        <f ca="1">IFERROR(__xludf.DUMMYFUNCTION("IMPORTRANGE(""https://docs.google.com/spreadsheets/d/1MeEWN-I1oV_STSDYn1IFDPWt_1FKiwhDph83XaGc0o0/edit?usp=sharing"",""งบพรบ!CJ78"")"),68795)</f>
        <v>68795</v>
      </c>
      <c r="N170" s="92">
        <f ca="1">IFERROR(__xludf.DUMMYFUNCTION("IMPORTRANGE(""https://docs.google.com/spreadsheets/d/1MeEWN-I1oV_STSDYn1IFDPWt_1FKiwhDph83XaGc0o0/edit?usp=sharing"",""งบพรบ!CL78"")"),68795)</f>
        <v>68795</v>
      </c>
      <c r="O170" s="92">
        <f t="shared" ca="1" si="38"/>
        <v>285.87159775607728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IFERROR(__xludf.DUMMYFUNCTION("IMPORTRANGE(""https://docs.google.com/spreadsheets/d/1MeEWN-I1oV_STSDYn1IFDPWt_1FKiwhDph83XaGc0o0/edit?usp=sharing"",""งบพรบ!CH78"")"),0)</f>
        <v>0</v>
      </c>
      <c r="M173" s="92">
        <f ca="1">IFERROR(__xludf.DUMMYFUNCTION("IMPORTRANGE(""https://docs.google.com/spreadsheets/d/1MeEWN-I1oV_STSDYn1IFDPWt_1FKiwhDph83XaGc0o0/edit?usp=sharing"",""งบพรบ!CK78"")"),0)</f>
        <v>0</v>
      </c>
      <c r="N173" s="92">
        <f ca="1">IFERROR(__xludf.DUMMYFUNCTION("IMPORTRANGE(""https://docs.google.com/spreadsheets/d/1MeEWN-I1oV_STSDYn1IFDPWt_1FKiwhDph83XaGc0o0/edit?usp=sharing"",""งบพรบ!CM78"")"),0)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13</v>
      </c>
      <c r="J174" s="260">
        <f>J176</f>
        <v>13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47" t="s">
        <v>38</v>
      </c>
      <c r="E175" s="172"/>
      <c r="F175" s="172"/>
      <c r="G175" s="173"/>
      <c r="H175" s="761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5" t="s">
        <v>85</v>
      </c>
      <c r="E176" s="177"/>
      <c r="F176" s="177"/>
      <c r="G176" s="178"/>
      <c r="H176" s="622" t="s">
        <v>35</v>
      </c>
      <c r="I176" s="269">
        <f ca="1">IFERROR(__xludf.DUMMYFUNCTION("IMPORTRANGE(""https://docs.google.com/spreadsheets/d/1QqKyyYR6Q21VydFLVH3TRQUabQu_ym0Zz7PgGX0-kHA/edit?usp=sharing"",""แผน!Y78"")"),13)</f>
        <v>13</v>
      </c>
      <c r="J176" s="214">
        <v>13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61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100</v>
      </c>
      <c r="J180" s="252">
        <f>J225+J226</f>
        <v>110</v>
      </c>
      <c r="K180" s="253">
        <f ca="1">IF(I180&gt;0,J180*100/I180,0)</f>
        <v>110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46" t="s">
        <v>17</v>
      </c>
      <c r="E181" s="147"/>
      <c r="F181" s="147"/>
      <c r="G181" s="150"/>
      <c r="H181" s="151" t="s">
        <v>12</v>
      </c>
      <c r="I181" s="420"/>
      <c r="J181" s="420"/>
      <c r="K181" s="153"/>
      <c r="L181" s="154">
        <f ca="1">L182+L183</f>
        <v>673400</v>
      </c>
      <c r="M181" s="154">
        <f ca="1">M182+M183</f>
        <v>691840</v>
      </c>
      <c r="N181" s="154">
        <f ca="1">N182+N183</f>
        <v>691840</v>
      </c>
      <c r="O181" s="154">
        <f t="shared" ref="O181:O189" ca="1" si="41">IF(L181&gt;0,N181*100/L181,0)</f>
        <v>102.73834273834274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6"/>
      <c r="J182" s="616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6"/>
      <c r="J183" s="616"/>
      <c r="K183" s="92"/>
      <c r="L183" s="92">
        <f t="shared" ca="1" si="43"/>
        <v>673400</v>
      </c>
      <c r="M183" s="92">
        <f t="shared" ca="1" si="43"/>
        <v>691840</v>
      </c>
      <c r="N183" s="92">
        <f t="shared" ca="1" si="43"/>
        <v>691840</v>
      </c>
      <c r="O183" s="92">
        <f t="shared" ca="1" si="41"/>
        <v>102.73834273834274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673400</v>
      </c>
      <c r="M184" s="497">
        <f ca="1">M185+M186</f>
        <v>691840</v>
      </c>
      <c r="N184" s="497">
        <f ca="1">N185+N186</f>
        <v>691840</v>
      </c>
      <c r="O184" s="497">
        <f t="shared" ca="1" si="41"/>
        <v>102.73834273834274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IFERROR(__xludf.DUMMYFUNCTION("IMPORTRANGE(""https://docs.google.com/spreadsheets/d/1MeEWN-I1oV_STSDYn1IFDPWt_1FKiwhDph83XaGc0o0/edit?usp=sharing"",""งบพรบ!CO78"")"),673400)</f>
        <v>673400</v>
      </c>
      <c r="M186" s="92">
        <f ca="1">IFERROR(__xludf.DUMMYFUNCTION("IMPORTRANGE(""https://docs.google.com/spreadsheets/d/1MeEWN-I1oV_STSDYn1IFDPWt_1FKiwhDph83XaGc0o0/edit?usp=sharing"",""งบพรบ!CT78"")"),691840)</f>
        <v>691840</v>
      </c>
      <c r="N186" s="92">
        <f ca="1">IFERROR(__xludf.DUMMYFUNCTION("IMPORTRANGE(""https://docs.google.com/spreadsheets/d/1MeEWN-I1oV_STSDYn1IFDPWt_1FKiwhDph83XaGc0o0/edit?usp=sharing"",""งบพรบ!CV78"")"),691840)</f>
        <v>691840</v>
      </c>
      <c r="O186" s="92">
        <f t="shared" ca="1" si="41"/>
        <v>102.73834273834274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IFERROR(__xludf.DUMMYFUNCTION("IMPORTRANGE(""https://docs.google.com/spreadsheets/d/1MeEWN-I1oV_STSDYn1IFDPWt_1FKiwhDph83XaGc0o0/edit?usp=sharing"",""งบพรบ!CR78"")"),0)</f>
        <v>0</v>
      </c>
      <c r="M189" s="92">
        <f ca="1">IFERROR(__xludf.DUMMYFUNCTION("IMPORTRANGE(""https://docs.google.com/spreadsheets/d/1MeEWN-I1oV_STSDYn1IFDPWt_1FKiwhDph83XaGc0o0/edit?usp=sharing"",""งบพรบ!CU78"")"),0)</f>
        <v>0</v>
      </c>
      <c r="N189" s="92">
        <f ca="1">IFERROR(__xludf.DUMMYFUNCTION("IMPORTRANGE(""https://docs.google.com/spreadsheets/d/1MeEWN-I1oV_STSDYn1IFDPWt_1FKiwhDph83XaGc0o0/edit?usp=sharing"",""งบพรบ!CW78"")"),0)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54" t="s">
        <v>17</v>
      </c>
      <c r="E191" s="147"/>
      <c r="F191" s="147"/>
      <c r="G191" s="150"/>
      <c r="H191" s="274" t="s">
        <v>12</v>
      </c>
      <c r="I191" s="420"/>
      <c r="J191" s="420"/>
      <c r="K191" s="153"/>
      <c r="L191" s="154">
        <f ca="1">IFERROR(__xludf.DUMMYFUNCTION("IMPORTRANGE(""https://docs.google.com/spreadsheets/d/1QqKyyYR6Q21VydFLVH3TRQUabQu_ym0Zz7PgGX0-kHA/edit?usp=sharing"",""แผน!Z78"")"),6000)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47" t="s">
        <v>38</v>
      </c>
      <c r="E192" s="172"/>
      <c r="F192" s="172"/>
      <c r="G192" s="173"/>
      <c r="H192" s="761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7" t="s">
        <v>91</v>
      </c>
      <c r="E193" s="177"/>
      <c r="F193" s="177"/>
      <c r="G193" s="178"/>
      <c r="H193" s="763" t="s">
        <v>90</v>
      </c>
      <c r="I193" s="269">
        <f ca="1">IFERROR(__xludf.DUMMYFUNCTION("IMPORTRANGE(""https://docs.google.com/spreadsheets/d/1QqKyyYR6Q21VydFLVH3TRQUabQu_ym0Zz7PgGX0-kHA/edit?usp=sharing"",""แผน!AC78"")"),4)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7" t="s">
        <v>92</v>
      </c>
      <c r="E194" s="177"/>
      <c r="F194" s="177"/>
      <c r="G194" s="178"/>
      <c r="H194" s="276" t="s">
        <v>35</v>
      </c>
      <c r="I194" s="269"/>
      <c r="J194" s="269">
        <f>J195+J196</f>
        <v>249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7" t="s">
        <v>93</v>
      </c>
      <c r="F195" s="177"/>
      <c r="G195" s="178"/>
      <c r="H195" s="276" t="s">
        <v>35</v>
      </c>
      <c r="I195" s="269"/>
      <c r="J195" s="214">
        <f>54+55+53+87</f>
        <v>249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7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3</v>
      </c>
      <c r="J197" s="271">
        <f>J204</f>
        <v>3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54" t="s">
        <v>17</v>
      </c>
      <c r="E198" s="147"/>
      <c r="F198" s="147"/>
      <c r="G198" s="150"/>
      <c r="H198" s="274" t="s">
        <v>12</v>
      </c>
      <c r="I198" s="419"/>
      <c r="J198" s="419"/>
      <c r="K198" s="279"/>
      <c r="L198" s="154">
        <f ca="1">L199+L200+L201+L202</f>
        <v>44000</v>
      </c>
      <c r="M198" s="154"/>
      <c r="N198" s="154">
        <f>N199+N200+N201+N202</f>
        <v>44000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IFERROR(__xludf.DUMMYFUNCTION("IMPORTRANGE(""https://docs.google.com/spreadsheets/d/1QqKyyYR6Q21VydFLVH3TRQUabQu_ym0Zz7PgGX0-kHA/edit?usp=sharing"",""แผน!AE78"")"),3000)</f>
        <v>3000</v>
      </c>
      <c r="M199" s="497"/>
      <c r="N199" s="826">
        <v>3000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3"/>
      <c r="B200" s="280"/>
      <c r="C200" s="210"/>
      <c r="D200" s="281" t="s">
        <v>98</v>
      </c>
      <c r="E200" s="32"/>
      <c r="F200" s="32"/>
      <c r="G200" s="34"/>
      <c r="H200" s="622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IFERROR(__xludf.DUMMYFUNCTION("IMPORTRANGE(""https://docs.google.com/spreadsheets/d/1QqKyyYR6Q21VydFLVH3TRQUabQu_ym0Zz7PgGX0-kHA/edit?usp=sharing"",""แผน!AF78"")"),24000)</f>
        <v>24000</v>
      </c>
      <c r="M200" s="497"/>
      <c r="N200" s="826">
        <v>24000</v>
      </c>
      <c r="O200" s="497"/>
      <c r="P200" s="497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2"/>
      <c r="F201" s="32"/>
      <c r="G201" s="34"/>
      <c r="H201" s="622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IFERROR(__xludf.DUMMYFUNCTION("IMPORTRANGE(""https://docs.google.com/spreadsheets/d/1QqKyyYR6Q21VydFLVH3TRQUabQu_ym0Zz7PgGX0-kHA/edit?usp=sharing"",""แผน!AG78"")"),12000)</f>
        <v>12000</v>
      </c>
      <c r="M201" s="497"/>
      <c r="N201" s="826">
        <v>12000</v>
      </c>
      <c r="O201" s="497"/>
      <c r="P201" s="497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2"/>
      <c r="F202" s="32"/>
      <c r="G202" s="34"/>
      <c r="H202" s="622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IFERROR(__xludf.DUMMYFUNCTION("IMPORTRANGE(""https://docs.google.com/spreadsheets/d/1QqKyyYR6Q21VydFLVH3TRQUabQu_ym0Zz7PgGX0-kHA/edit?usp=sharing"",""แผน!AH78"")"),5000)</f>
        <v>5000</v>
      </c>
      <c r="M202" s="497"/>
      <c r="N202" s="826">
        <v>5000</v>
      </c>
      <c r="O202" s="497"/>
      <c r="P202" s="497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69"/>
      <c r="B203" s="170"/>
      <c r="C203" s="210" t="s">
        <v>16</v>
      </c>
      <c r="D203" s="847" t="s">
        <v>38</v>
      </c>
      <c r="E203" s="172"/>
      <c r="F203" s="172"/>
      <c r="G203" s="173"/>
      <c r="H203" s="761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61" t="s">
        <v>96</v>
      </c>
      <c r="I204" s="269">
        <f ca="1">IFERROR(__xludf.DUMMYFUNCTION("IMPORTRANGE(""https://docs.google.com/spreadsheets/d/1QqKyyYR6Q21VydFLVH3TRQUabQu_ym0Zz7PgGX0-kHA/edit?usp=sharing"",""แผน!AI78"")"),3)</f>
        <v>3</v>
      </c>
      <c r="J204" s="214">
        <v>3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7" t="s">
        <v>59</v>
      </c>
      <c r="E205" s="177"/>
      <c r="F205" s="177"/>
      <c r="G205" s="178"/>
      <c r="H205" s="761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31" t="s">
        <v>102</v>
      </c>
      <c r="F206" s="286"/>
      <c r="G206" s="287"/>
      <c r="H206" s="288" t="s">
        <v>96</v>
      </c>
      <c r="I206" s="269">
        <v>3</v>
      </c>
      <c r="J206" s="214">
        <v>3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7"/>
      <c r="E207" s="447" t="s">
        <v>103</v>
      </c>
      <c r="F207" s="177"/>
      <c r="G207" s="177"/>
      <c r="H207" s="289" t="s">
        <v>104</v>
      </c>
      <c r="I207" s="269">
        <v>1</v>
      </c>
      <c r="J207" s="214">
        <v>1</v>
      </c>
      <c r="K207" s="162">
        <f>IF(I207&gt;0,J207*100/I207,0)</f>
        <v>100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ca="1">I215</f>
        <v>2</v>
      </c>
      <c r="J208" s="271">
        <f>J215</f>
        <v>2</v>
      </c>
      <c r="K208" s="272">
        <f ca="1">IF(I208&gt;0,J208*100/I208,0)</f>
        <v>100</v>
      </c>
      <c r="L208" s="261"/>
      <c r="M208" s="261"/>
      <c r="N208" s="261"/>
      <c r="O208" s="261"/>
      <c r="P208" s="261"/>
    </row>
    <row r="209" spans="1:26" ht="19.5">
      <c r="A209" s="146"/>
      <c r="B209" s="147"/>
      <c r="C209" s="148" t="s">
        <v>16</v>
      </c>
      <c r="D209" s="854" t="s">
        <v>17</v>
      </c>
      <c r="E209" s="147"/>
      <c r="F209" s="147"/>
      <c r="G209" s="150"/>
      <c r="H209" s="274" t="s">
        <v>12</v>
      </c>
      <c r="I209" s="419"/>
      <c r="J209" s="419"/>
      <c r="K209" s="279"/>
      <c r="L209" s="154">
        <f ca="1">L210+L211+L212</f>
        <v>28000</v>
      </c>
      <c r="M209" s="154"/>
      <c r="N209" s="154">
        <f>N210+N211+N212</f>
        <v>28000</v>
      </c>
      <c r="O209" s="154">
        <f ca="1">IF(L209&gt;0,N209*100/L209,0)</f>
        <v>100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IFERROR(__xludf.DUMMYFUNCTION("IMPORTRANGE(""https://docs.google.com/spreadsheets/d/1QqKyyYR6Q21VydFLVH3TRQUabQu_ym0Zz7PgGX0-kHA/edit?usp=sharing"",""แผน!AK78"")"),2000)</f>
        <v>2000</v>
      </c>
      <c r="M210" s="497"/>
      <c r="N210" s="826">
        <v>1695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>
      <c r="A211" s="283"/>
      <c r="B211" s="280"/>
      <c r="C211" s="291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IFERROR(__xludf.DUMMYFUNCTION("IMPORTRANGE(""https://docs.google.com/spreadsheets/d/1QqKyyYR6Q21VydFLVH3TRQUabQu_ym0Zz7PgGX0-kHA/edit?usp=sharing"",""แผน!AL78"")"),10000)</f>
        <v>10000</v>
      </c>
      <c r="M211" s="497"/>
      <c r="N211" s="826">
        <v>10000</v>
      </c>
      <c r="O211" s="497"/>
      <c r="P211" s="497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>
      <c r="A212" s="283"/>
      <c r="B212" s="280"/>
      <c r="C212" s="291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IFERROR(__xludf.DUMMYFUNCTION("IMPORTRANGE(""https://docs.google.com/spreadsheets/d/1QqKyyYR6Q21VydFLVH3TRQUabQu_ym0Zz7PgGX0-kHA/edit?usp=sharing"",""แผน!AM78"")"),16000)</f>
        <v>16000</v>
      </c>
      <c r="M212" s="497"/>
      <c r="N212" s="826">
        <v>16305</v>
      </c>
      <c r="O212" s="497"/>
      <c r="P212" s="497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>
      <c r="A213" s="169"/>
      <c r="B213" s="170"/>
      <c r="C213" s="291" t="s">
        <v>16</v>
      </c>
      <c r="D213" s="847" t="s">
        <v>38</v>
      </c>
      <c r="E213" s="172"/>
      <c r="F213" s="172"/>
      <c r="G213" s="173"/>
      <c r="H213" s="761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>
      <c r="A214" s="169"/>
      <c r="B214" s="170"/>
      <c r="C214" s="170"/>
      <c r="D214" s="175" t="s">
        <v>106</v>
      </c>
      <c r="E214" s="177"/>
      <c r="F214" s="177"/>
      <c r="G214" s="178"/>
      <c r="H214" s="761" t="s">
        <v>96</v>
      </c>
      <c r="I214" s="269">
        <f ca="1">IFERROR(__xludf.DUMMYFUNCTION("IMPORTRANGE(""https://docs.google.com/spreadsheets/d/1QqKyyYR6Q21VydFLVH3TRQUabQu_ym0Zz7PgGX0-kHA/edit?usp=sharing"",""แผน!AN78"")"),2)</f>
        <v>2</v>
      </c>
      <c r="J214" s="214">
        <v>2</v>
      </c>
      <c r="K214" s="497">
        <f ca="1">IF(I214&gt;0,J214*100/I214,0)</f>
        <v>100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>
      <c r="A215" s="169"/>
      <c r="B215" s="170"/>
      <c r="C215" s="170"/>
      <c r="D215" s="175" t="s">
        <v>107</v>
      </c>
      <c r="E215" s="177"/>
      <c r="F215" s="177"/>
      <c r="G215" s="178"/>
      <c r="H215" s="761" t="s">
        <v>96</v>
      </c>
      <c r="I215" s="269">
        <f ca="1">IFERROR(__xludf.DUMMYFUNCTION("IMPORTRANGE(""https://docs.google.com/spreadsheets/d/1QqKyyYR6Q21VydFLVH3TRQUabQu_ym0Zz7PgGX0-kHA/edit?usp=sharing"",""แผน!AN78"")"),2)</f>
        <v>2</v>
      </c>
      <c r="J215" s="214">
        <v>2</v>
      </c>
      <c r="K215" s="497">
        <f ca="1">IF(I215&gt;0,J215*100/I215,0)</f>
        <v>100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ca="1">I224</f>
        <v>50000</v>
      </c>
      <c r="J216" s="271">
        <f>J224</f>
        <v>50000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54" t="s">
        <v>17</v>
      </c>
      <c r="E217" s="147"/>
      <c r="F217" s="147"/>
      <c r="G217" s="150"/>
      <c r="H217" s="274" t="s">
        <v>12</v>
      </c>
      <c r="I217" s="419"/>
      <c r="J217" s="419"/>
      <c r="K217" s="279"/>
      <c r="L217" s="154">
        <f ca="1">L218+L219+L220</f>
        <v>18500</v>
      </c>
      <c r="M217" s="154"/>
      <c r="N217" s="154">
        <f>N218+N219+N220</f>
        <v>18500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IFERROR(__xludf.DUMMYFUNCTION("IMPORTRANGE(""https://docs.google.com/spreadsheets/d/1QqKyyYR6Q21VydFLVH3TRQUabQu_ym0Zz7PgGX0-kHA/edit?usp=sharing"",""แผน!AP78"")"),5000)</f>
        <v>5000</v>
      </c>
      <c r="M218" s="497"/>
      <c r="N218" s="826">
        <v>18500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3"/>
      <c r="B219" s="280"/>
      <c r="C219" s="291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IFERROR(__xludf.DUMMYFUNCTION("IMPORTRANGE(""https://docs.google.com/spreadsheets/d/1QqKyyYR6Q21VydFLVH3TRQUabQu_ym0Zz7PgGX0-kHA/edit?usp=sharing"",""แผน!AQ78"")"),13500)</f>
        <v>13500</v>
      </c>
      <c r="M219" s="497"/>
      <c r="N219" s="826">
        <v>0</v>
      </c>
      <c r="O219" s="497"/>
      <c r="P219" s="497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IFERROR(__xludf.DUMMYFUNCTION("IMPORTRANGE(""https://docs.google.com/spreadsheets/d/1QqKyyYR6Q21VydFLVH3TRQUabQu_ym0Zz7PgGX0-kHA/edit?usp=sharing"",""แผน!AR78"")"),0)</f>
        <v>0</v>
      </c>
      <c r="M220" s="497"/>
      <c r="N220" s="826">
        <v>0</v>
      </c>
      <c r="O220" s="497"/>
      <c r="P220" s="497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69"/>
      <c r="B221" s="170"/>
      <c r="C221" s="291" t="s">
        <v>16</v>
      </c>
      <c r="D221" s="847" t="s">
        <v>38</v>
      </c>
      <c r="E221" s="172"/>
      <c r="F221" s="172"/>
      <c r="G221" s="173"/>
      <c r="H221" s="761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61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63" t="s">
        <v>109</v>
      </c>
      <c r="I223" s="269">
        <f ca="1">IFERROR(__xludf.DUMMYFUNCTION("IMPORTRANGE(""https://docs.google.com/spreadsheets/d/1QqKyyYR6Q21VydFLVH3TRQUabQu_ym0Zz7PgGX0-kHA/edit?usp=sharing"",""แผน!AT78"")"),50000)</f>
        <v>50000</v>
      </c>
      <c r="J223" s="214">
        <v>50000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63" t="s">
        <v>109</v>
      </c>
      <c r="I224" s="269">
        <f ca="1">IFERROR(__xludf.DUMMYFUNCTION("IMPORTRANGE(""https://docs.google.com/spreadsheets/d/1QqKyyYR6Q21VydFLVH3TRQUabQu_ym0Zz7PgGX0-kHA/edit?usp=sharing"",""แผน!AT78"")"),50000)</f>
        <v>50000</v>
      </c>
      <c r="J224" s="214">
        <v>50000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63" t="s">
        <v>35</v>
      </c>
      <c r="I225" s="269">
        <f ca="1">IFERROR(__xludf.DUMMYFUNCTION("IMPORTRANGE(""https://docs.google.com/spreadsheets/d/1QqKyyYR6Q21VydFLVH3TRQUabQu_ym0Zz7PgGX0-kHA/edit?usp=sharing"",""แผน!AS78"")"),0)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100</v>
      </c>
      <c r="J226" s="344">
        <f>J237+J248</f>
        <v>110</v>
      </c>
      <c r="K226" s="345">
        <f ca="1">IF(I226&gt;0,J226*100/I226,0)</f>
        <v>110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293300</v>
      </c>
      <c r="M227" s="355"/>
      <c r="N227" s="355">
        <f>N238+N249</f>
        <v>293300</v>
      </c>
      <c r="O227" s="855"/>
      <c r="P227" s="85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165000</v>
      </c>
      <c r="M228" s="92"/>
      <c r="N228" s="92">
        <f>N239+N250</f>
        <v>167251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6"/>
      <c r="J229" s="616"/>
      <c r="K229" s="92"/>
      <c r="L229" s="92">
        <f ca="1">L240+L251</f>
        <v>88300</v>
      </c>
      <c r="M229" s="92"/>
      <c r="N229" s="92">
        <f>N240+N251</f>
        <v>85539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6"/>
      <c r="J230" s="616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6"/>
      <c r="J231" s="616"/>
      <c r="K231" s="92"/>
      <c r="L231" s="92">
        <f ca="1">L242+L253</f>
        <v>40000</v>
      </c>
      <c r="M231" s="92"/>
      <c r="N231" s="92">
        <f>N242+N253</f>
        <v>40510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6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6">
        <f ca="1">I244+I255</f>
        <v>100</v>
      </c>
      <c r="J233" s="616">
        <f>J244+J255</f>
        <v>110</v>
      </c>
      <c r="K233" s="92">
        <f ca="1">IF(I233&gt;0,J233*100/I233,0)</f>
        <v>110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6"/>
      <c r="J234" s="616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6">
        <f>I246+I257</f>
        <v>0</v>
      </c>
      <c r="J235" s="616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6">
        <f>I247+I258</f>
        <v>4</v>
      </c>
      <c r="J236" s="616">
        <f>J247+J258</f>
        <v>4</v>
      </c>
      <c r="K236" s="92">
        <f>IF(I236&gt;0,J236*100/I236,0)</f>
        <v>100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5"/>
      <c r="B237" s="263"/>
      <c r="C237" s="270" t="s">
        <v>338</v>
      </c>
      <c r="D237" s="256"/>
      <c r="E237" s="256"/>
      <c r="F237" s="256"/>
      <c r="G237" s="258"/>
      <c r="H237" s="259" t="s">
        <v>35</v>
      </c>
      <c r="I237" s="271">
        <f ca="1">I244</f>
        <v>100</v>
      </c>
      <c r="J237" s="271">
        <f>J244</f>
        <v>110</v>
      </c>
      <c r="K237" s="272">
        <f ca="1">IF(I237&gt;0,J237*100/I237,0)</f>
        <v>110</v>
      </c>
      <c r="L237" s="261"/>
      <c r="M237" s="261"/>
      <c r="N237" s="261"/>
      <c r="O237" s="261"/>
      <c r="P237" s="261"/>
    </row>
    <row r="238" spans="1:26" ht="19.5">
      <c r="A238" s="146"/>
      <c r="B238" s="147"/>
      <c r="C238" s="148" t="s">
        <v>16</v>
      </c>
      <c r="D238" s="846" t="s">
        <v>17</v>
      </c>
      <c r="E238" s="147"/>
      <c r="F238" s="147"/>
      <c r="G238" s="150"/>
      <c r="H238" s="274" t="s">
        <v>12</v>
      </c>
      <c r="I238" s="419"/>
      <c r="J238" s="419"/>
      <c r="K238" s="279"/>
      <c r="L238" s="154">
        <f ca="1">L239+L240+L241+L242</f>
        <v>293300</v>
      </c>
      <c r="M238" s="154"/>
      <c r="N238" s="154">
        <f>N239+N240+N241+N242</f>
        <v>293300</v>
      </c>
      <c r="O238" s="154">
        <f ca="1">IF(L238&gt;0,N238*100/L238,0)</f>
        <v>100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IFERROR(__xludf.DUMMYFUNCTION("IMPORTRANGE(""https://docs.google.com/spreadsheets/d/1QqKyyYR6Q21VydFLVH3TRQUabQu_ym0Zz7PgGX0-kHA/edit?usp=sharing"",""แผน!AV78"")"),165000)</f>
        <v>165000</v>
      </c>
      <c r="M239" s="321"/>
      <c r="N239" s="853">
        <f>167251</f>
        <v>167251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IFERROR(__xludf.DUMMYFUNCTION("IMPORTRANGE(""https://docs.google.com/spreadsheets/d/1QqKyyYR6Q21VydFLVH3TRQUabQu_ym0Zz7PgGX0-kHA/edit?usp=sharing"",""แผน!AW78"")"),88300)</f>
        <v>88300</v>
      </c>
      <c r="M240" s="321"/>
      <c r="N240" s="853">
        <v>85539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IFERROR(__xludf.DUMMYFUNCTION("IMPORTRANGE(""https://docs.google.com/spreadsheets/d/1QqKyyYR6Q21VydFLVH3TRQUabQu_ym0Zz7PgGX0-kHA/edit?usp=sharing"",""แผน!AX78"")"),0)</f>
        <v>0</v>
      </c>
      <c r="M241" s="321"/>
      <c r="N241" s="853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IFERROR(__xludf.DUMMYFUNCTION("IMPORTRANGE(""https://docs.google.com/spreadsheets/d/1QqKyyYR6Q21VydFLVH3TRQUabQu_ym0Zz7PgGX0-kHA/edit?usp=sharing"",""แผน!AY78"")"),40000)</f>
        <v>40000</v>
      </c>
      <c r="M242" s="321"/>
      <c r="N242" s="853">
        <f>9980+9780+10000+9750+1000</f>
        <v>40510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69"/>
      <c r="B243" s="170"/>
      <c r="C243" s="291" t="s">
        <v>16</v>
      </c>
      <c r="D243" s="847" t="s">
        <v>38</v>
      </c>
      <c r="E243" s="172"/>
      <c r="F243" s="172"/>
      <c r="G243" s="173"/>
      <c r="H243" s="761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9"/>
      <c r="B244" s="170"/>
      <c r="C244" s="170"/>
      <c r="D244" s="447" t="s">
        <v>117</v>
      </c>
      <c r="E244" s="177"/>
      <c r="F244" s="177"/>
      <c r="G244" s="178"/>
      <c r="H244" s="763" t="s">
        <v>35</v>
      </c>
      <c r="I244" s="269">
        <f ca="1">IFERROR(__xludf.DUMMYFUNCTION("IMPORTRANGE(""https://docs.google.com/spreadsheets/d/1QqKyyYR6Q21VydFLVH3TRQUabQu_ym0Zz7PgGX0-kHA/edit?usp=sharing"",""แผน!BE78"")"),100)</f>
        <v>100</v>
      </c>
      <c r="J244" s="214">
        <v>110</v>
      </c>
      <c r="K244" s="497">
        <f ca="1">IF(I244&gt;0,J244*100/I244,0)</f>
        <v>110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9"/>
      <c r="B245" s="170"/>
      <c r="C245" s="170"/>
      <c r="D245" s="852" t="s">
        <v>43</v>
      </c>
      <c r="E245" s="177"/>
      <c r="F245" s="177"/>
      <c r="G245" s="178"/>
      <c r="H245" s="763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9"/>
      <c r="B246" s="170"/>
      <c r="C246" s="170"/>
      <c r="D246" s="170"/>
      <c r="E246" s="175" t="s">
        <v>118</v>
      </c>
      <c r="F246" s="177"/>
      <c r="G246" s="178"/>
      <c r="H246" s="763" t="s">
        <v>35</v>
      </c>
      <c r="I246" s="269">
        <v>0</v>
      </c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9"/>
      <c r="B247" s="170"/>
      <c r="C247" s="170"/>
      <c r="D247" s="170"/>
      <c r="E247" s="175" t="s">
        <v>119</v>
      </c>
      <c r="F247" s="177"/>
      <c r="G247" s="178"/>
      <c r="H247" s="763" t="s">
        <v>66</v>
      </c>
      <c r="I247" s="269">
        <v>4</v>
      </c>
      <c r="J247" s="214">
        <v>4</v>
      </c>
      <c r="K247" s="497">
        <f>IF(I247&gt;0,J247*100/I247,0)</f>
        <v>100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54" t="s">
        <v>17</v>
      </c>
      <c r="E249" s="147"/>
      <c r="F249" s="147"/>
      <c r="G249" s="150"/>
      <c r="H249" s="274" t="s">
        <v>12</v>
      </c>
      <c r="I249" s="419"/>
      <c r="J249" s="419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IFERROR(__xludf.DUMMYFUNCTION("IMPORTRANGE(""https://docs.google.com/spreadsheets/d/1QqKyyYR6Q21VydFLVH3TRQUabQu_ym0Zz7PgGX0-kHA/edit?usp=sharing"",""แผน!AZ78"")"),0)</f>
        <v>0</v>
      </c>
      <c r="M250" s="321"/>
      <c r="N250" s="853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IFERROR(__xludf.DUMMYFUNCTION("IMPORTRANGE(""https://docs.google.com/spreadsheets/d/1QqKyyYR6Q21VydFLVH3TRQUabQu_ym0Zz7PgGX0-kHA/edit?usp=sharing"",""แผน!BA78"")"),0)</f>
        <v>0</v>
      </c>
      <c r="M251" s="321"/>
      <c r="N251" s="853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IFERROR(__xludf.DUMMYFUNCTION("IMPORTRANGE(""https://docs.google.com/spreadsheets/d/1QqKyyYR6Q21VydFLVH3TRQUabQu_ym0Zz7PgGX0-kHA/edit?usp=sharing"",""แผน!BB78"")"),0)</f>
        <v>0</v>
      </c>
      <c r="M252" s="321"/>
      <c r="N252" s="853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IFERROR(__xludf.DUMMYFUNCTION("IMPORTRANGE(""https://docs.google.com/spreadsheets/d/1QqKyyYR6Q21VydFLVH3TRQUabQu_ym0Zz7PgGX0-kHA/edit?usp=sharing"",""แผน!BC78"")"),0)</f>
        <v>0</v>
      </c>
      <c r="M253" s="321"/>
      <c r="N253" s="853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1" t="s">
        <v>16</v>
      </c>
      <c r="D254" s="847" t="s">
        <v>38</v>
      </c>
      <c r="E254" s="172"/>
      <c r="F254" s="172"/>
      <c r="G254" s="173"/>
      <c r="H254" s="761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7" t="s">
        <v>117</v>
      </c>
      <c r="E255" s="177"/>
      <c r="F255" s="177"/>
      <c r="G255" s="178"/>
      <c r="H255" s="763" t="s">
        <v>35</v>
      </c>
      <c r="I255" s="269">
        <f ca="1">IFERROR(__xludf.DUMMYFUNCTION("IMPORTRANGE(""https://docs.google.com/spreadsheets/d/1QqKyyYR6Q21VydFLVH3TRQUabQu_ym0Zz7PgGX0-kHA/edit?usp=sharing"",""แผน!BF78"")"),0)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52" t="s">
        <v>43</v>
      </c>
      <c r="E256" s="177"/>
      <c r="F256" s="177"/>
      <c r="G256" s="178"/>
      <c r="H256" s="763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63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63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26</v>
      </c>
      <c r="J260" s="252">
        <f>J271</f>
        <v>26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46" t="s">
        <v>17</v>
      </c>
      <c r="E261" s="147"/>
      <c r="F261" s="147"/>
      <c r="G261" s="150"/>
      <c r="H261" s="151" t="s">
        <v>12</v>
      </c>
      <c r="I261" s="420"/>
      <c r="J261" s="420"/>
      <c r="K261" s="153"/>
      <c r="L261" s="154">
        <f ca="1">L262+L263</f>
        <v>173700</v>
      </c>
      <c r="M261" s="154">
        <f ca="1">M262+M263</f>
        <v>173700</v>
      </c>
      <c r="N261" s="154">
        <f ca="1">N262+N263</f>
        <v>173700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6"/>
      <c r="J262" s="616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6"/>
      <c r="J263" s="616"/>
      <c r="K263" s="92"/>
      <c r="L263" s="92">
        <f t="shared" ca="1" si="46"/>
        <v>173700</v>
      </c>
      <c r="M263" s="92">
        <f t="shared" ca="1" si="46"/>
        <v>173700</v>
      </c>
      <c r="N263" s="92">
        <f t="shared" ca="1" si="46"/>
        <v>173700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173700</v>
      </c>
      <c r="M264" s="497">
        <f ca="1">M265+M266</f>
        <v>173700</v>
      </c>
      <c r="N264" s="497">
        <f ca="1">N265+N266</f>
        <v>173700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IFERROR(__xludf.DUMMYFUNCTION("IMPORTRANGE(""https://docs.google.com/spreadsheets/d/1MeEWN-I1oV_STSDYn1IFDPWt_1FKiwhDph83XaGc0o0/edit?usp=sharing"",""งบพรบ!CY78"")"),173700)</f>
        <v>173700</v>
      </c>
      <c r="M266" s="92">
        <f ca="1">IFERROR(__xludf.DUMMYFUNCTION("IMPORTRANGE(""https://docs.google.com/spreadsheets/d/1MeEWN-I1oV_STSDYn1IFDPWt_1FKiwhDph83XaGc0o0/edit?usp=sharing"",""งบพรบ!DD78"")"),173700)</f>
        <v>173700</v>
      </c>
      <c r="N266" s="92">
        <f ca="1">IFERROR(__xludf.DUMMYFUNCTION("IMPORTRANGE(""https://docs.google.com/spreadsheets/d/1MeEWN-I1oV_STSDYn1IFDPWt_1FKiwhDph83XaGc0o0/edit?usp=sharing"",""งบพรบ!DF78"")"),173700)</f>
        <v>173700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IFERROR(__xludf.DUMMYFUNCTION("IMPORTRANGE(""https://docs.google.com/spreadsheets/d/1MeEWN-I1oV_STSDYn1IFDPWt_1FKiwhDph83XaGc0o0/edit?usp=sharing"",""งบพรบ!DB78"")"),0)</f>
        <v>0</v>
      </c>
      <c r="M269" s="92">
        <f ca="1">IFERROR(__xludf.DUMMYFUNCTION("IMPORTRANGE(""https://docs.google.com/spreadsheets/d/1MeEWN-I1oV_STSDYn1IFDPWt_1FKiwhDph83XaGc0o0/edit?usp=sharing"",""งบพรบ!DE78"")"),0)</f>
        <v>0</v>
      </c>
      <c r="N269" s="92">
        <f ca="1">IFERROR(__xludf.DUMMYFUNCTION("IMPORTRANGE(""https://docs.google.com/spreadsheets/d/1MeEWN-I1oV_STSDYn1IFDPWt_1FKiwhDph83XaGc0o0/edit?usp=sharing"",""งบพรบ!DG78"")"),0)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47" t="s">
        <v>38</v>
      </c>
      <c r="E270" s="172"/>
      <c r="F270" s="172"/>
      <c r="G270" s="173"/>
      <c r="H270" s="761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IFERROR(__xludf.DUMMYFUNCTION("IMPORTRANGE(""https://docs.google.com/spreadsheets/d/1QqKyyYR6Q21VydFLVH3TRQUabQu_ym0Zz7PgGX0-kHA/edit?usp=sharing"",""แผน!EA78"")"),26)</f>
        <v>26</v>
      </c>
      <c r="J271" s="214">
        <v>26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5">
        <v>0</v>
      </c>
      <c r="J272" s="505">
        <v>0</v>
      </c>
      <c r="K272" s="384">
        <v>0</v>
      </c>
      <c r="L272" s="384"/>
      <c r="M272" s="384"/>
      <c r="N272" s="384"/>
      <c r="O272" s="384"/>
      <c r="P272" s="384"/>
    </row>
    <row r="273" spans="1:26" ht="19.5" hidden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9">
        <f ca="1">I287</f>
        <v>0</v>
      </c>
      <c r="J276" s="409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46" t="s">
        <v>17</v>
      </c>
      <c r="E277" s="147"/>
      <c r="F277" s="147"/>
      <c r="G277" s="150"/>
      <c r="H277" s="151" t="s">
        <v>12</v>
      </c>
      <c r="I277" s="420"/>
      <c r="J277" s="420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6"/>
      <c r="J278" s="616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6"/>
      <c r="J279" s="616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IFERROR(__xludf.DUMMYFUNCTION("IMPORTRANGE(""https://docs.google.com/spreadsheets/d/1MeEWN-I1oV_STSDYn1IFDPWt_1FKiwhDph83XaGc0o0/edit?usp=sharing"",""งบพรบ!DI78"")"),0)</f>
        <v>0</v>
      </c>
      <c r="M282" s="92">
        <f ca="1">IFERROR(__xludf.DUMMYFUNCTION("IMPORTRANGE(""https://docs.google.com/spreadsheets/d/1MeEWN-I1oV_STSDYn1IFDPWt_1FKiwhDph83XaGc0o0/edit?usp=sharing"",""งบพรบ!DN78"")"),0)</f>
        <v>0</v>
      </c>
      <c r="N282" s="92">
        <f ca="1">IFERROR(__xludf.DUMMYFUNCTION("IMPORTRANGE(""https://docs.google.com/spreadsheets/d/1MeEWN-I1oV_STSDYn1IFDPWt_1FKiwhDph83XaGc0o0/edit?usp=sharing"",""งบพรบ!DP78"")"),0)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IFERROR(__xludf.DUMMYFUNCTION("IMPORTRANGE(""https://docs.google.com/spreadsheets/d/1MeEWN-I1oV_STSDYn1IFDPWt_1FKiwhDph83XaGc0o0/edit?usp=sharing"",""งบพรบ!DL78"")"),0)</f>
        <v>0</v>
      </c>
      <c r="M285" s="92">
        <f ca="1">IFERROR(__xludf.DUMMYFUNCTION("IMPORTRANGE(""https://docs.google.com/spreadsheets/d/1MeEWN-I1oV_STSDYn1IFDPWt_1FKiwhDph83XaGc0o0/edit?usp=sharing"",""งบพรบ!DO78"")"),0)</f>
        <v>0</v>
      </c>
      <c r="N285" s="92">
        <f ca="1">IFERROR(__xludf.DUMMYFUNCTION("IMPORTRANGE(""https://docs.google.com/spreadsheets/d/1MeEWN-I1oV_STSDYn1IFDPWt_1FKiwhDph83XaGc0o0/edit?usp=sharing"",""งบพรบ!DQ78"")"),0)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47" t="s">
        <v>38</v>
      </c>
      <c r="E286" s="172"/>
      <c r="F286" s="172"/>
      <c r="G286" s="173"/>
      <c r="H286" s="761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5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IFERROR(__xludf.DUMMYFUNCTION("IMPORTRANGE(""https://docs.google.com/spreadsheets/d/1QqKyyYR6Q21VydFLVH3TRQUabQu_ym0Zz7PgGX0-kHA/edit?usp=sharing"",""แผน!EC78"")"),0)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5" t="s">
        <v>130</v>
      </c>
      <c r="E288" s="170"/>
      <c r="F288" s="177"/>
      <c r="G288" s="178"/>
      <c r="H288" s="179" t="s">
        <v>35</v>
      </c>
      <c r="I288" s="680">
        <f ca="1">IFERROR(__xludf.DUMMYFUNCTION("IMPORTRANGE(""https://docs.google.com/spreadsheets/d/1QqKyyYR6Q21VydFLVH3TRQUabQu_ym0Zz7PgGX0-kHA/edit?usp=sharing"",""แผน!EB78"")"),0)</f>
        <v>0</v>
      </c>
      <c r="J288" s="680">
        <f ca="1">IF(AND(J291&gt;=I288,J294&gt;=I288),J294,0)</f>
        <v>0</v>
      </c>
      <c r="K288" s="411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2"/>
      <c r="E289" s="413" t="s">
        <v>131</v>
      </c>
      <c r="F289" s="177"/>
      <c r="G289" s="178"/>
      <c r="H289" s="763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2"/>
      <c r="E290" s="625" t="s">
        <v>132</v>
      </c>
      <c r="F290" s="177"/>
      <c r="G290" s="178"/>
      <c r="H290" s="763" t="s">
        <v>35</v>
      </c>
      <c r="I290" s="183">
        <f ca="1">IFERROR(__xludf.DUMMYFUNCTION("IMPORTRANGE(""https://docs.google.com/spreadsheets/d/1QqKyyYR6Q21VydFLVH3TRQUabQu_ym0Zz7PgGX0-kHA/edit?usp=sharing"",""แผน!EB78"")"),0)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5" t="s">
        <v>336</v>
      </c>
      <c r="F291" s="177"/>
      <c r="G291" s="178"/>
      <c r="H291" s="763" t="s">
        <v>35</v>
      </c>
      <c r="I291" s="183">
        <f ca="1">IFERROR(__xludf.DUMMYFUNCTION("IMPORTRANGE(""https://docs.google.com/spreadsheets/d/1QqKyyYR6Q21VydFLVH3TRQUabQu_ym0Zz7PgGX0-kHA/edit?usp=sharing"",""แผน!EB78"")"),0)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4"/>
      <c r="B292" s="415"/>
      <c r="C292" s="415"/>
      <c r="D292" s="416"/>
      <c r="E292" s="417" t="s">
        <v>134</v>
      </c>
      <c r="F292" s="286"/>
      <c r="G292" s="287"/>
      <c r="H292" s="418"/>
      <c r="I292" s="419"/>
      <c r="J292" s="420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2"/>
      <c r="E293" s="625" t="s">
        <v>132</v>
      </c>
      <c r="F293" s="177"/>
      <c r="G293" s="178"/>
      <c r="H293" s="763" t="s">
        <v>35</v>
      </c>
      <c r="I293" s="183">
        <f ca="1">IFERROR(__xludf.DUMMYFUNCTION("IMPORTRANGE(""https://docs.google.com/spreadsheets/d/1QqKyyYR6Q21VydFLVH3TRQUabQu_ym0Zz7PgGX0-kHA/edit?usp=sharing"",""แผน!EB78"")"),0)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33" t="s">
        <v>336</v>
      </c>
      <c r="F294" s="380"/>
      <c r="G294" s="381"/>
      <c r="H294" s="422" t="s">
        <v>35</v>
      </c>
      <c r="I294" s="423">
        <f ca="1">IFERROR(__xludf.DUMMYFUNCTION("IMPORTRANGE(""https://docs.google.com/spreadsheets/d/1QqKyyYR6Q21VydFLVH3TRQUabQu_ym0Zz7PgGX0-kHA/edit?usp=sharing"",""แผน!EB78"")"),0)</f>
        <v>0</v>
      </c>
      <c r="J294" s="424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20</v>
      </c>
      <c r="J297" s="444">
        <f>J309</f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6"/>
      <c r="B298" s="147"/>
      <c r="C298" s="148" t="s">
        <v>16</v>
      </c>
      <c r="D298" s="846" t="s">
        <v>17</v>
      </c>
      <c r="E298" s="147"/>
      <c r="F298" s="147"/>
      <c r="G298" s="150"/>
      <c r="H298" s="151" t="s">
        <v>12</v>
      </c>
      <c r="I298" s="420"/>
      <c r="J298" s="420"/>
      <c r="K298" s="153"/>
      <c r="L298" s="154">
        <f ca="1">L299+L300</f>
        <v>82400</v>
      </c>
      <c r="M298" s="154">
        <f ca="1">M299+M300</f>
        <v>100400</v>
      </c>
      <c r="N298" s="154">
        <f ca="1">N299+N300</f>
        <v>100400</v>
      </c>
      <c r="O298" s="154">
        <f t="shared" ref="O298:O306" ca="1" si="50">IF(L298&gt;0,N298*100/L298,0)</f>
        <v>121.84466019417475</v>
      </c>
      <c r="P298" s="154">
        <f t="shared" ref="P298:P306" ca="1" si="51">IF(M298&gt;0,N298*100/M298,0)</f>
        <v>100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6"/>
      <c r="J299" s="616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6"/>
      <c r="J300" s="616"/>
      <c r="K300" s="92"/>
      <c r="L300" s="92">
        <f t="shared" ca="1" si="52"/>
        <v>82400</v>
      </c>
      <c r="M300" s="92">
        <f t="shared" ca="1" si="52"/>
        <v>100400</v>
      </c>
      <c r="N300" s="92">
        <f t="shared" ca="1" si="52"/>
        <v>100400</v>
      </c>
      <c r="O300" s="92">
        <f t="shared" ca="1" si="50"/>
        <v>121.84466019417475</v>
      </c>
      <c r="P300" s="92">
        <f t="shared" ca="1" si="51"/>
        <v>100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82400</v>
      </c>
      <c r="M301" s="497">
        <f ca="1">M302+M303</f>
        <v>100400</v>
      </c>
      <c r="N301" s="497">
        <f ca="1">N302+N303</f>
        <v>100400</v>
      </c>
      <c r="O301" s="497">
        <f t="shared" ca="1" si="50"/>
        <v>121.84466019417475</v>
      </c>
      <c r="P301" s="497">
        <f t="shared" ca="1" si="51"/>
        <v>100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IFERROR(__xludf.DUMMYFUNCTION("IMPORTRANGE(""https://docs.google.com/spreadsheets/d/1MeEWN-I1oV_STSDYn1IFDPWt_1FKiwhDph83XaGc0o0/edit?usp=sharing"",""งบพรบ!DS78"")"),82400)</f>
        <v>82400</v>
      </c>
      <c r="M303" s="92">
        <f ca="1">IFERROR(__xludf.DUMMYFUNCTION("IMPORTRANGE(""https://docs.google.com/spreadsheets/d/1MeEWN-I1oV_STSDYn1IFDPWt_1FKiwhDph83XaGc0o0/edit?usp=sharing"",""งบพรบ!DX78"")"),100400)</f>
        <v>100400</v>
      </c>
      <c r="N303" s="92">
        <f ca="1">IFERROR(__xludf.DUMMYFUNCTION("IMPORTRANGE(""https://docs.google.com/spreadsheets/d/1MeEWN-I1oV_STSDYn1IFDPWt_1FKiwhDph83XaGc0o0/edit?usp=sharing"",""งบพรบ!DZ78"")"),100400)</f>
        <v>100400</v>
      </c>
      <c r="O303" s="92">
        <f t="shared" ca="1" si="50"/>
        <v>121.84466019417475</v>
      </c>
      <c r="P303" s="92">
        <f t="shared" ca="1" si="51"/>
        <v>100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IFERROR(__xludf.DUMMYFUNCTION("IMPORTRANGE(""https://docs.google.com/spreadsheets/d/1MeEWN-I1oV_STSDYn1IFDPWt_1FKiwhDph83XaGc0o0/edit?usp=sharing"",""งบพรบ!DV78"")"),0)</f>
        <v>0</v>
      </c>
      <c r="M306" s="92">
        <f ca="1">IFERROR(__xludf.DUMMYFUNCTION("IMPORTRANGE(""https://docs.google.com/spreadsheets/d/1MeEWN-I1oV_STSDYn1IFDPWt_1FKiwhDph83XaGc0o0/edit?usp=sharing"",""งบพรบ!DY78"")"),0)</f>
        <v>0</v>
      </c>
      <c r="N306" s="92">
        <f ca="1">IFERROR(__xludf.DUMMYFUNCTION("IMPORTRANGE(""https://docs.google.com/spreadsheets/d/1MeEWN-I1oV_STSDYn1IFDPWt_1FKiwhDph83XaGc0o0/edit?usp=sharing"",""งบพรบ!EA78"")"),0)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47" t="s">
        <v>38</v>
      </c>
      <c r="E307" s="172"/>
      <c r="F307" s="172"/>
      <c r="G307" s="173"/>
      <c r="H307" s="761"/>
      <c r="I307" s="269"/>
      <c r="J307" s="269"/>
      <c r="K307" s="497"/>
      <c r="L307" s="497"/>
      <c r="M307" s="497"/>
      <c r="N307" s="497"/>
      <c r="O307" s="497"/>
      <c r="P307" s="497"/>
    </row>
    <row r="308" spans="1:26" ht="18.75">
      <c r="A308" s="169"/>
      <c r="B308" s="170"/>
      <c r="C308" s="170"/>
      <c r="D308" s="447" t="s">
        <v>140</v>
      </c>
      <c r="E308" s="447"/>
      <c r="F308" s="447"/>
      <c r="G308" s="178"/>
      <c r="H308" s="763"/>
      <c r="I308" s="269"/>
      <c r="J308" s="214">
        <v>1</v>
      </c>
      <c r="K308" s="497"/>
      <c r="L308" s="497"/>
      <c r="M308" s="497"/>
      <c r="N308" s="497"/>
      <c r="O308" s="497"/>
      <c r="P308" s="497"/>
    </row>
    <row r="309" spans="1:26" ht="18.75">
      <c r="A309" s="169"/>
      <c r="B309" s="170"/>
      <c r="C309" s="170"/>
      <c r="D309" s="447" t="s">
        <v>141</v>
      </c>
      <c r="E309" s="447"/>
      <c r="F309" s="447"/>
      <c r="G309" s="178"/>
      <c r="H309" s="763" t="s">
        <v>35</v>
      </c>
      <c r="I309" s="269">
        <f ca="1">IFERROR(__xludf.DUMMYFUNCTION("IMPORTRANGE(""https://docs.google.com/spreadsheets/d/1QqKyyYR6Q21VydFLVH3TRQUabQu_ym0Zz7PgGX0-kHA/edit?usp=sharing"",""แผน!ED78"")"),20)</f>
        <v>20</v>
      </c>
      <c r="J309" s="214">
        <v>20</v>
      </c>
      <c r="K309" s="497">
        <f ca="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69"/>
      <c r="B310" s="170"/>
      <c r="C310" s="170"/>
      <c r="D310" s="447" t="s">
        <v>142</v>
      </c>
      <c r="E310" s="447"/>
      <c r="F310" s="447"/>
      <c r="G310" s="178"/>
      <c r="H310" s="763" t="s">
        <v>35</v>
      </c>
      <c r="I310" s="269">
        <f ca="1">IFERROR(__xludf.DUMMYFUNCTION("IMPORTRANGE(""https://docs.google.com/spreadsheets/d/1QqKyyYR6Q21VydFLVH3TRQUabQu_ym0Zz7PgGX0-kHA/edit?usp=sharing"",""แผน!ED78"")"),20)</f>
        <v>20</v>
      </c>
      <c r="J310" s="214">
        <v>20</v>
      </c>
      <c r="K310" s="497">
        <f ca="1">IF(I310&gt;0,J310*100/I310,0)</f>
        <v>100</v>
      </c>
      <c r="L310" s="497"/>
      <c r="M310" s="497"/>
      <c r="N310" s="497"/>
      <c r="O310" s="497"/>
      <c r="P310" s="497"/>
    </row>
    <row r="311" spans="1:26" ht="18.75">
      <c r="A311" s="169"/>
      <c r="B311" s="170"/>
      <c r="C311" s="170"/>
      <c r="D311" s="447" t="s">
        <v>59</v>
      </c>
      <c r="E311" s="447"/>
      <c r="F311" s="447"/>
      <c r="G311" s="178"/>
      <c r="H311" s="763" t="s">
        <v>35</v>
      </c>
      <c r="I311" s="269">
        <f ca="1">IFERROR(__xludf.DUMMYFUNCTION("IMPORTRANGE(""https://docs.google.com/spreadsheets/d/1QqKyyYR6Q21VydFLVH3TRQUabQu_ym0Zz7PgGX0-kHA/edit?usp=sharing"",""แผน!ED78"")"),20)</f>
        <v>20</v>
      </c>
      <c r="J311" s="214">
        <v>20</v>
      </c>
      <c r="K311" s="497">
        <f ca="1">IF(I311&gt;0,J311*100/I311,0)</f>
        <v>100</v>
      </c>
      <c r="L311" s="497"/>
      <c r="M311" s="497"/>
      <c r="N311" s="497"/>
      <c r="O311" s="497"/>
      <c r="P311" s="497"/>
    </row>
    <row r="312" spans="1:26" ht="18.75">
      <c r="A312" s="169"/>
      <c r="B312" s="170"/>
      <c r="C312" s="170"/>
      <c r="D312" s="447" t="s">
        <v>143</v>
      </c>
      <c r="E312" s="447"/>
      <c r="F312" s="447"/>
      <c r="G312" s="178"/>
      <c r="H312" s="763" t="s">
        <v>35</v>
      </c>
      <c r="I312" s="269">
        <f ca="1">IFERROR(__xludf.DUMMYFUNCTION("IMPORTRANGE(""https://docs.google.com/spreadsheets/d/1QqKyyYR6Q21VydFLVH3TRQUabQu_ym0Zz7PgGX0-kHA/edit?usp=sharing"",""แผน!EE78"")"),4)</f>
        <v>4</v>
      </c>
      <c r="J312" s="214">
        <v>4</v>
      </c>
      <c r="K312" s="497">
        <f ca="1">IF(I312&gt;0,J312*100/I312,0)</f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0</v>
      </c>
      <c r="J314" s="444">
        <f>J325</f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6"/>
      <c r="B315" s="147"/>
      <c r="C315" s="148" t="s">
        <v>16</v>
      </c>
      <c r="D315" s="846" t="s">
        <v>17</v>
      </c>
      <c r="E315" s="147"/>
      <c r="F315" s="147"/>
      <c r="G315" s="150"/>
      <c r="H315" s="151" t="s">
        <v>12</v>
      </c>
      <c r="I315" s="420"/>
      <c r="J315" s="420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6"/>
      <c r="J316" s="616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6"/>
      <c r="J317" s="616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IFERROR(__xludf.DUMMYFUNCTION("IMPORTRANGE(""https://docs.google.com/spreadsheets/d/1MeEWN-I1oV_STSDYn1IFDPWt_1FKiwhDph83XaGc0o0/edit?usp=sharing"",""งบพรบ!EC78"")"),0)</f>
        <v>0</v>
      </c>
      <c r="M320" s="92">
        <f ca="1">IFERROR(__xludf.DUMMYFUNCTION("IMPORTRANGE(""https://docs.google.com/spreadsheets/d/1MeEWN-I1oV_STSDYn1IFDPWt_1FKiwhDph83XaGc0o0/edit?usp=sharing"",""งบพรบ!EH78"")"),0)</f>
        <v>0</v>
      </c>
      <c r="N320" s="92">
        <f ca="1">IFERROR(__xludf.DUMMYFUNCTION("IMPORTRANGE(""https://docs.google.com/spreadsheets/d/1MeEWN-I1oV_STSDYn1IFDPWt_1FKiwhDph83XaGc0o0/edit?usp=sharing"",""งบพรบ!EJ78"")"),0)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IFERROR(__xludf.DUMMYFUNCTION("IMPORTRANGE(""https://docs.google.com/spreadsheets/d/1MeEWN-I1oV_STSDYn1IFDPWt_1FKiwhDph83XaGc0o0/edit?usp=sharing"",""งบพรบ!EF78"")"),0)</f>
        <v>0</v>
      </c>
      <c r="M323" s="92">
        <f ca="1">IFERROR(__xludf.DUMMYFUNCTION("IMPORTRANGE(""https://docs.google.com/spreadsheets/d/1MeEWN-I1oV_STSDYn1IFDPWt_1FKiwhDph83XaGc0o0/edit?usp=sharing"",""งบพรบ!EI78"")"),0)</f>
        <v>0</v>
      </c>
      <c r="N323" s="92">
        <f ca="1">IFERROR(__xludf.DUMMYFUNCTION("IMPORTRANGE(""https://docs.google.com/spreadsheets/d/1MeEWN-I1oV_STSDYn1IFDPWt_1FKiwhDph83XaGc0o0/edit?usp=sharing"",""งบพรบ!EK78"")"),0)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47" t="s">
        <v>38</v>
      </c>
      <c r="E324" s="172"/>
      <c r="F324" s="172"/>
      <c r="G324" s="173"/>
      <c r="H324" s="761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7"/>
      <c r="G325" s="178"/>
      <c r="H325" s="622" t="s">
        <v>146</v>
      </c>
      <c r="I325" s="269">
        <f ca="1">IFERROR(__xludf.DUMMYFUNCTION("IMPORTRANGE(""https://docs.google.com/spreadsheets/d/1QqKyyYR6Q21VydFLVH3TRQUabQu_ym0Zz7PgGX0-kHA/edit?usp=sharing"",""แผน!EF78"")"),0)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IFERROR(__xludf.DUMMYFUNCTION("IMPORTRANGE(""https://docs.google.com/spreadsheets/d/1QqKyyYR6Q21VydFLVH3TRQUabQu_ym0Zz7PgGX0-kHA/edit?usp=sharing"",""แผน!EG78"")"),1600)</f>
        <v>1600</v>
      </c>
      <c r="J327" s="444">
        <f ca="1">J338+J341+J342+J343</f>
        <v>4677</v>
      </c>
      <c r="K327" s="445">
        <f ca="1">IF(I327&gt;0,J327*100/I327,0)</f>
        <v>292.3125</v>
      </c>
      <c r="L327" s="446"/>
      <c r="M327" s="446"/>
      <c r="N327" s="446"/>
      <c r="O327" s="446"/>
      <c r="P327" s="446"/>
    </row>
    <row r="328" spans="1:26" ht="19.5">
      <c r="A328" s="146"/>
      <c r="B328" s="147"/>
      <c r="C328" s="148" t="s">
        <v>16</v>
      </c>
      <c r="D328" s="846" t="s">
        <v>17</v>
      </c>
      <c r="E328" s="147"/>
      <c r="F328" s="147"/>
      <c r="G328" s="150"/>
      <c r="H328" s="151" t="s">
        <v>12</v>
      </c>
      <c r="I328" s="420"/>
      <c r="J328" s="420"/>
      <c r="K328" s="153"/>
      <c r="L328" s="154">
        <f ca="1">L329+L330</f>
        <v>174000</v>
      </c>
      <c r="M328" s="154">
        <f ca="1">M329+M330</f>
        <v>176500</v>
      </c>
      <c r="N328" s="154">
        <f ca="1">N329+N330</f>
        <v>176500</v>
      </c>
      <c r="O328" s="154">
        <f t="shared" ref="O328:O336" ca="1" si="56">IF(L328&gt;0,N328*100/L328,0)</f>
        <v>101.43678160919541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6"/>
      <c r="J329" s="616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6"/>
      <c r="J330" s="616"/>
      <c r="K330" s="92"/>
      <c r="L330" s="92">
        <f t="shared" ca="1" si="58"/>
        <v>174000</v>
      </c>
      <c r="M330" s="92">
        <f t="shared" ca="1" si="58"/>
        <v>176500</v>
      </c>
      <c r="N330" s="92">
        <f t="shared" ca="1" si="58"/>
        <v>176500</v>
      </c>
      <c r="O330" s="92">
        <f t="shared" ca="1" si="56"/>
        <v>101.43678160919541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174000</v>
      </c>
      <c r="M331" s="497">
        <f ca="1">M332+M333</f>
        <v>176500</v>
      </c>
      <c r="N331" s="497">
        <f ca="1">N332+N333</f>
        <v>176500</v>
      </c>
      <c r="O331" s="497">
        <f t="shared" ca="1" si="56"/>
        <v>101.43678160919541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IFERROR(__xludf.DUMMYFUNCTION("IMPORTRANGE(""https://docs.google.com/spreadsheets/d/1MeEWN-I1oV_STSDYn1IFDPWt_1FKiwhDph83XaGc0o0/edit?usp=sharing"",""งบพรบ!EM78"")"),174000)</f>
        <v>174000</v>
      </c>
      <c r="M333" s="92">
        <f ca="1">IFERROR(__xludf.DUMMYFUNCTION("IMPORTRANGE(""https://docs.google.com/spreadsheets/d/1MeEWN-I1oV_STSDYn1IFDPWt_1FKiwhDph83XaGc0o0/edit?usp=sharing"",""งบพรบ!ER78"")"),176500)</f>
        <v>176500</v>
      </c>
      <c r="N333" s="92">
        <f ca="1">IFERROR(__xludf.DUMMYFUNCTION("IMPORTRANGE(""https://docs.google.com/spreadsheets/d/1MeEWN-I1oV_STSDYn1IFDPWt_1FKiwhDph83XaGc0o0/edit?usp=sharing"",""งบพรบ!ET78"")"),176500)</f>
        <v>176500</v>
      </c>
      <c r="O333" s="92">
        <f t="shared" ca="1" si="56"/>
        <v>101.43678160919541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IFERROR(__xludf.DUMMYFUNCTION("IMPORTRANGE(""https://docs.google.com/spreadsheets/d/1MeEWN-I1oV_STSDYn1IFDPWt_1FKiwhDph83XaGc0o0/edit?usp=sharing"",""งบพรบ!EP78"")"),0)</f>
        <v>0</v>
      </c>
      <c r="M336" s="92">
        <f ca="1">IFERROR(__xludf.DUMMYFUNCTION("IMPORTRANGE(""https://docs.google.com/spreadsheets/d/1MeEWN-I1oV_STSDYn1IFDPWt_1FKiwhDph83XaGc0o0/edit?usp=sharing"",""งบพรบ!ES78"")"),0)</f>
        <v>0</v>
      </c>
      <c r="N336" s="92">
        <f ca="1">IFERROR(__xludf.DUMMYFUNCTION("IMPORTRANGE(""https://docs.google.com/spreadsheets/d/1MeEWN-I1oV_STSDYn1IFDPWt_1FKiwhDph83XaGc0o0/edit?usp=sharing"",""งบพรบ!EU78"")"),0)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4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61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3"/>
      <c r="B338" s="32"/>
      <c r="C338" s="280"/>
      <c r="D338" s="447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IFERROR(__xludf.DUMMYFUNCTION("IMPORTRANGE(""https://docs.google.com/spreadsheets/d/1QqKyyYR6Q21VydFLVH3TRQUabQu_ym0Zz7PgGX0-kHA/edit?usp=sharing"",""แผน!EG78"")"),1600)</f>
        <v>1600</v>
      </c>
      <c r="J338" s="269">
        <f ca="1">IFERROR(__xludf.DUMMYFUNCTION("IMPORTRANGE(""https://docs.google.com/spreadsheets/d/1kVcqe37tkHyjCSG3S0O1AXqVkqjo8mSIZil3BcpIysc/edit?usp=sharing"",""ศูนย์!D78"")"),4360)</f>
        <v>4360</v>
      </c>
      <c r="K338" s="497">
        <f ca="1">IF(I338&gt;0,J338*100/I338,0)</f>
        <v>272.5</v>
      </c>
      <c r="L338" s="497"/>
      <c r="M338" s="497"/>
      <c r="N338" s="497"/>
      <c r="O338" s="497"/>
      <c r="P338" s="497"/>
    </row>
    <row r="339" spans="1:26" ht="18.75">
      <c r="A339" s="283"/>
      <c r="B339" s="32"/>
      <c r="C339" s="280"/>
      <c r="D339" s="447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3"/>
      <c r="B340" s="32"/>
      <c r="C340" s="280"/>
      <c r="D340" s="177"/>
      <c r="E340" s="447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IFERROR(__xludf.DUMMYFUNCTION("IMPORTRANGE(""https://docs.google.com/spreadsheets/d/1QqKyyYR6Q21VydFLVH3TRQUabQu_ym0Zz7PgGX0-kHA/edit?usp=sharing"",""แผน!EH78"")"),8)</f>
        <v>8</v>
      </c>
      <c r="J340" s="269">
        <f ca="1">IFERROR(__xludf.DUMMYFUNCTION("IMPORTRANGE(""https://docs.google.com/spreadsheets/d/1kVcqe37tkHyjCSG3S0O1AXqVkqjo8mSIZil3BcpIysc/edit?usp=sharing"",""ศูนย์!E78"")"),10)</f>
        <v>10</v>
      </c>
      <c r="K340" s="497">
        <f ca="1">IF(I340&gt;0,J340*100/I340,0)</f>
        <v>125</v>
      </c>
      <c r="L340" s="497"/>
      <c r="M340" s="497"/>
      <c r="N340" s="497"/>
      <c r="O340" s="497"/>
      <c r="P340" s="497"/>
    </row>
    <row r="341" spans="1:26" ht="18.75">
      <c r="A341" s="283"/>
      <c r="B341" s="32"/>
      <c r="C341" s="280"/>
      <c r="D341" s="177"/>
      <c r="E341" s="447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IFERROR(__xludf.DUMMYFUNCTION("IMPORTRANGE(""https://docs.google.com/spreadsheets/d/1kVcqe37tkHyjCSG3S0O1AXqVkqjo8mSIZil3BcpIysc/edit?usp=sharing"",""ศูนย์!F78"")"),316)</f>
        <v>316</v>
      </c>
      <c r="K341" s="497"/>
      <c r="L341" s="497"/>
      <c r="M341" s="497"/>
      <c r="N341" s="497"/>
      <c r="O341" s="497"/>
      <c r="P341" s="497"/>
    </row>
    <row r="342" spans="1:26" ht="18.75">
      <c r="A342" s="283"/>
      <c r="B342" s="32"/>
      <c r="C342" s="280"/>
      <c r="D342" s="447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IFERROR(__xludf.DUMMYFUNCTION("IMPORTRANGE(""https://docs.google.com/spreadsheets/d/1kVcqe37tkHyjCSG3S0O1AXqVkqjo8mSIZil3BcpIysc/edit?usp=sharing"",""ศูนย์!G78"")"),1)</f>
        <v>1</v>
      </c>
      <c r="K342" s="497"/>
      <c r="L342" s="497"/>
      <c r="M342" s="497"/>
      <c r="N342" s="497"/>
      <c r="O342" s="497"/>
      <c r="P342" s="497"/>
    </row>
    <row r="343" spans="1:26" ht="18.75">
      <c r="A343" s="283"/>
      <c r="B343" s="32"/>
      <c r="C343" s="280"/>
      <c r="D343" s="447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IFERROR(__xludf.DUMMYFUNCTION("IMPORTRANGE(""https://docs.google.com/spreadsheets/d/1kVcqe37tkHyjCSG3S0O1AXqVkqjo8mSIZil3BcpIysc/edit?usp=sharing"",""ศูนย์!H78"")"),0)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6"/>
      <c r="B345" s="147"/>
      <c r="C345" s="148" t="s">
        <v>16</v>
      </c>
      <c r="D345" s="846" t="s">
        <v>17</v>
      </c>
      <c r="E345" s="147"/>
      <c r="F345" s="147"/>
      <c r="G345" s="150"/>
      <c r="H345" s="151" t="s">
        <v>12</v>
      </c>
      <c r="I345" s="420"/>
      <c r="J345" s="420"/>
      <c r="K345" s="153"/>
      <c r="L345" s="154">
        <f ca="1">L346+L347</f>
        <v>695090</v>
      </c>
      <c r="M345" s="154">
        <f ca="1">M346+M347</f>
        <v>905290</v>
      </c>
      <c r="N345" s="154">
        <f ca="1">N346+N347</f>
        <v>905290</v>
      </c>
      <c r="O345" s="154">
        <f t="shared" ref="O345:O353" ca="1" si="59">IF(L345&gt;0,N345*100/L345,0)</f>
        <v>130.24068825619705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6"/>
      <c r="J346" s="616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6"/>
      <c r="J347" s="616"/>
      <c r="K347" s="92"/>
      <c r="L347" s="92">
        <f t="shared" ca="1" si="61"/>
        <v>695090</v>
      </c>
      <c r="M347" s="92">
        <f t="shared" ca="1" si="61"/>
        <v>905290</v>
      </c>
      <c r="N347" s="92">
        <f t="shared" ca="1" si="61"/>
        <v>905290</v>
      </c>
      <c r="O347" s="92">
        <f t="shared" ca="1" si="59"/>
        <v>130.24068825619705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619090</v>
      </c>
      <c r="M348" s="497">
        <f ca="1">M349+M350</f>
        <v>830290</v>
      </c>
      <c r="N348" s="497">
        <f ca="1">N349+N350</f>
        <v>830290</v>
      </c>
      <c r="O348" s="497">
        <f t="shared" ca="1" si="59"/>
        <v>134.11458753977612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IFERROR(__xludf.DUMMYFUNCTION("IMPORTRANGE(""https://docs.google.com/spreadsheets/d/1MeEWN-I1oV_STSDYn1IFDPWt_1FKiwhDph83XaGc0o0/edit?usp=sharing"",""งบพรบ!EW78"")"),619090)</f>
        <v>619090</v>
      </c>
      <c r="M350" s="92">
        <f ca="1">IFERROR(__xludf.DUMMYFUNCTION("IMPORTRANGE(""https://docs.google.com/spreadsheets/d/1MeEWN-I1oV_STSDYn1IFDPWt_1FKiwhDph83XaGc0o0/edit?usp=sharing"",""งบพรบ!FB78"")"),830290)</f>
        <v>830290</v>
      </c>
      <c r="N350" s="92">
        <f ca="1">IFERROR(__xludf.DUMMYFUNCTION("IMPORTRANGE(""https://docs.google.com/spreadsheets/d/1MeEWN-I1oV_STSDYn1IFDPWt_1FKiwhDph83XaGc0o0/edit?usp=sharing"",""งบพรบ!FD78"")"),830290)</f>
        <v>830290</v>
      </c>
      <c r="O350" s="92">
        <f t="shared" ca="1" si="59"/>
        <v>134.11458753977612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76000</v>
      </c>
      <c r="M351" s="497">
        <f ca="1">M352+M353</f>
        <v>75000</v>
      </c>
      <c r="N351" s="497">
        <f ca="1">N352+N353</f>
        <v>75000</v>
      </c>
      <c r="O351" s="497">
        <f t="shared" ca="1" si="59"/>
        <v>98.684210526315795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IFERROR(__xludf.DUMMYFUNCTION("IMPORTRANGE(""https://docs.google.com/spreadsheets/d/1MeEWN-I1oV_STSDYn1IFDPWt_1FKiwhDph83XaGc0o0/edit?usp=sharing"",""งบพรบ!EZ78"")"),76000)</f>
        <v>76000</v>
      </c>
      <c r="M353" s="92">
        <f ca="1">IFERROR(__xludf.DUMMYFUNCTION("IMPORTRANGE(""https://docs.google.com/spreadsheets/d/1MeEWN-I1oV_STSDYn1IFDPWt_1FKiwhDph83XaGc0o0/edit?usp=sharing"",""งบพรบ!FC78"")"),75000)</f>
        <v>75000</v>
      </c>
      <c r="N353" s="92">
        <f ca="1">IFERROR(__xludf.DUMMYFUNCTION("IMPORTRANGE(""https://docs.google.com/spreadsheets/d/1MeEWN-I1oV_STSDYn1IFDPWt_1FKiwhDph83XaGc0o0/edit?usp=sharing"",""งบพรบ!FE78"")"),75000)</f>
        <v>75000</v>
      </c>
      <c r="O353" s="92">
        <f t="shared" ca="1" si="59"/>
        <v>98.684210526315795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1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IFERROR(__xludf.DUMMYFUNCTION("IMPORTRANGE(""https://docs.google.com/spreadsheets/d/1QqKyyYR6Q21VydFLVH3TRQUabQu_ym0Zz7PgGX0-kHA/edit?usp=sharing"",""แผน!EP78"")"),250)</f>
        <v>250</v>
      </c>
      <c r="J355" s="464">
        <f ca="1">J362</f>
        <v>258</v>
      </c>
      <c r="K355" s="465">
        <f ca="1">IF(I355&gt;0,J355*100/I355,0)</f>
        <v>103.2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47" t="s">
        <v>38</v>
      </c>
      <c r="E357" s="172"/>
      <c r="F357" s="172"/>
      <c r="G357" s="173"/>
      <c r="H357" s="761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IFERROR(__xludf.DUMMYFUNCTION("IMPORTRANGE(""https://docs.google.com/spreadsheets/d/1XWAQStnk-4SwqDmLtmXYiTMKHgktTP8We1SCoS47DrQ/edit?usp=sharing"",""จัดที่ดิน!W78"")"),439)</f>
        <v>439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IFERROR(__xludf.DUMMYFUNCTION("IMPORTRANGE(""https://docs.google.com/spreadsheets/d/1QqKyyYR6Q21VydFLVH3TRQUabQu_ym0Zz7PgGX0-kHA/edit?usp=sharing"",""แผน!EO78"")"),3020)</f>
        <v>3020</v>
      </c>
      <c r="J359" s="269">
        <f ca="1">IFERROR(__xludf.DUMMYFUNCTION("IMPORTRANGE(""https://docs.google.com/spreadsheets/d/1XWAQStnk-4SwqDmLtmXYiTMKHgktTP8We1SCoS47DrQ/edit?usp=sharing"",""จัดที่ดิน!X78"")"),3028.16)</f>
        <v>3028.16</v>
      </c>
      <c r="K359" s="497">
        <f t="shared" ca="1" si="62"/>
        <v>100.27019867549669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63" t="s">
        <v>35</v>
      </c>
      <c r="I360" s="269">
        <f ca="1">IFERROR(__xludf.DUMMYFUNCTION("IMPORTRANGE(""https://docs.google.com/spreadsheets/d/1QqKyyYR6Q21VydFLVH3TRQUabQu_ym0Zz7PgGX0-kHA/edit?usp=sharing"",""แผน!EP78"")"),250)</f>
        <v>250</v>
      </c>
      <c r="J360" s="269">
        <f ca="1">IFERROR(__xludf.DUMMYFUNCTION("IMPORTRANGE(""https://docs.google.com/spreadsheets/d/1XWAQStnk-4SwqDmLtmXYiTMKHgktTP8We1SCoS47DrQ/edit?usp=sharing"",""จัดที่ดิน!Y78"")"),434)</f>
        <v>434</v>
      </c>
      <c r="K360" s="497">
        <f t="shared" ca="1" si="62"/>
        <v>173.6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63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IFERROR(__xludf.DUMMYFUNCTION("IMPORTRANGE(""https://docs.google.com/spreadsheets/d/1XWAQStnk-4SwqDmLtmXYiTMKHgktTP8We1SCoS47DrQ/edit?usp=sharing"",""จัดที่ดิน!Z78"")"),3101.52)</f>
        <v>3101.52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63" t="s">
        <v>35</v>
      </c>
      <c r="I362" s="269">
        <f ca="1">IFERROR(__xludf.DUMMYFUNCTION("IMPORTRANGE(""https://docs.google.com/spreadsheets/d/1QqKyyYR6Q21VydFLVH3TRQUabQu_ym0Zz7PgGX0-kHA/edit?usp=sharing"",""แผน!EP78"")"),250)</f>
        <v>250</v>
      </c>
      <c r="J362" s="269">
        <f ca="1">IFERROR(__xludf.DUMMYFUNCTION("IMPORTRANGE(""https://docs.google.com/spreadsheets/d/1XWAQStnk-4SwqDmLtmXYiTMKHgktTP8We1SCoS47DrQ/edit?usp=sharing"",""จัดที่ดิน!AA78"")"),258)</f>
        <v>258</v>
      </c>
      <c r="K362" s="497">
        <f t="shared" ca="1" si="62"/>
        <v>103.2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7"/>
      <c r="F363" s="177"/>
      <c r="G363" s="178"/>
      <c r="H363" s="763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IFERROR(__xludf.DUMMYFUNCTION("IMPORTRANGE(""https://docs.google.com/spreadsheets/d/1XWAQStnk-4SwqDmLtmXYiTMKHgktTP8We1SCoS47DrQ/edit?usp=sharing"",""จัดที่ดิน!AB78"")"),1760.46)</f>
        <v>1760.46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950</v>
      </c>
      <c r="J364" s="478">
        <f ca="1">J365+J374</f>
        <v>972</v>
      </c>
      <c r="K364" s="479">
        <f t="shared" ca="1" si="62"/>
        <v>102.31578947368421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IFERROR(__xludf.DUMMYFUNCTION("IMPORTRANGE(""https://docs.google.com/spreadsheets/d/1QqKyyYR6Q21VydFLVH3TRQUabQu_ym0Zz7PgGX0-kHA/edit?usp=sharing"",""แผน!EJ78"")"),150)</f>
        <v>150</v>
      </c>
      <c r="J365" s="490">
        <f ca="1">J372</f>
        <v>195</v>
      </c>
      <c r="K365" s="491">
        <f t="shared" ca="1" si="62"/>
        <v>130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47" t="s">
        <v>38</v>
      </c>
      <c r="E367" s="172"/>
      <c r="F367" s="172"/>
      <c r="G367" s="173"/>
      <c r="H367" s="761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IFERROR(__xludf.DUMMYFUNCTION("IMPORTRANGE(""https://docs.google.com/spreadsheets/d/1XWAQStnk-4SwqDmLtmXYiTMKHgktTP8We1SCoS47DrQ/edit?usp=sharing"",""จัดที่ดิน!E78"")"),181)</f>
        <v>181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IFERROR(__xludf.DUMMYFUNCTION("IMPORTRANGE(""https://docs.google.com/spreadsheets/d/1QqKyyYR6Q21VydFLVH3TRQUabQu_ym0Zz7PgGX0-kHA/edit?usp=sharing"",""แผน!EI78"")"),1520)</f>
        <v>1520</v>
      </c>
      <c r="J369" s="269">
        <f ca="1">IFERROR(__xludf.DUMMYFUNCTION("IMPORTRANGE(""https://docs.google.com/spreadsheets/d/1XWAQStnk-4SwqDmLtmXYiTMKHgktTP8We1SCoS47DrQ/edit?usp=sharing"",""จัดที่ดิน!F78"")"),1284.99)</f>
        <v>1284.99</v>
      </c>
      <c r="K369" s="497">
        <f t="shared" ca="1" si="63"/>
        <v>84.538815789473688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63" t="s">
        <v>35</v>
      </c>
      <c r="I370" s="269">
        <f ca="1">IFERROR(__xludf.DUMMYFUNCTION("IMPORTRANGE(""https://docs.google.com/spreadsheets/d/1QqKyyYR6Q21VydFLVH3TRQUabQu_ym0Zz7PgGX0-kHA/edit?usp=sharing"",""แผน!EJ78"")"),150)</f>
        <v>150</v>
      </c>
      <c r="J370" s="269">
        <f ca="1">IFERROR(__xludf.DUMMYFUNCTION("IMPORTRANGE(""https://docs.google.com/spreadsheets/d/1XWAQStnk-4SwqDmLtmXYiTMKHgktTP8We1SCoS47DrQ/edit?usp=sharing"",""จัดที่ดิน!G78"")"),200)</f>
        <v>200</v>
      </c>
      <c r="K370" s="497">
        <f t="shared" ca="1" si="63"/>
        <v>133.33333333333334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63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IFERROR(__xludf.DUMMYFUNCTION("IMPORTRANGE(""https://docs.google.com/spreadsheets/d/1XWAQStnk-4SwqDmLtmXYiTMKHgktTP8We1SCoS47DrQ/edit?usp=sharing"",""จัดที่ดิน!H78"")"),1538.43)</f>
        <v>1538.43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63" t="s">
        <v>35</v>
      </c>
      <c r="I372" s="269">
        <f ca="1">IFERROR(__xludf.DUMMYFUNCTION("IMPORTRANGE(""https://docs.google.com/spreadsheets/d/1QqKyyYR6Q21VydFLVH3TRQUabQu_ym0Zz7PgGX0-kHA/edit?usp=sharing"",""แผน!EJ78"")"),150)</f>
        <v>150</v>
      </c>
      <c r="J372" s="269">
        <f ca="1">IFERROR(__xludf.DUMMYFUNCTION("IMPORTRANGE(""https://docs.google.com/spreadsheets/d/1XWAQStnk-4SwqDmLtmXYiTMKHgktTP8We1SCoS47DrQ/edit?usp=sharing"",""จัดที่ดิน!I78"")"),195)</f>
        <v>195</v>
      </c>
      <c r="K372" s="497">
        <f t="shared" ca="1" si="63"/>
        <v>130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7"/>
      <c r="C373" s="170"/>
      <c r="D373" s="177"/>
      <c r="E373" s="447"/>
      <c r="F373" s="177"/>
      <c r="G373" s="178"/>
      <c r="H373" s="763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IFERROR(__xludf.DUMMYFUNCTION("IMPORTRANGE(""https://docs.google.com/spreadsheets/d/1XWAQStnk-4SwqDmLtmXYiTMKHgktTP8We1SCoS47DrQ/edit?usp=sharing"",""จัดที่ดิน!J78"")"),1364.15)</f>
        <v>1364.15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IFERROR(__xludf.DUMMYFUNCTION("IMPORTRANGE(""https://docs.google.com/spreadsheets/d/1QqKyyYR6Q21VydFLVH3TRQUabQu_ym0Zz7PgGX0-kHA/edit?usp=sharing"",""แผน!EU78"")"),800)</f>
        <v>800</v>
      </c>
      <c r="J374" s="490">
        <f ca="1">J381</f>
        <v>777</v>
      </c>
      <c r="K374" s="491">
        <f t="shared" ca="1" si="63"/>
        <v>97.125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47" t="s">
        <v>38</v>
      </c>
      <c r="E376" s="172"/>
      <c r="F376" s="172"/>
      <c r="G376" s="173"/>
      <c r="H376" s="761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IFERROR(__xludf.DUMMYFUNCTION("IMPORTRANGE(""https://docs.google.com/spreadsheets/d/1XWAQStnk-4SwqDmLtmXYiTMKHgktTP8We1SCoS47DrQ/edit?usp=sharing"",""จัดที่ดิน!AH78"")"),258)</f>
        <v>258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IFERROR(__xludf.DUMMYFUNCTION("IMPORTRANGE(""https://docs.google.com/spreadsheets/d/1QqKyyYR6Q21VydFLVH3TRQUabQu_ym0Zz7PgGX0-kHA/edit?usp=sharing"",""แผน!ET78"")"),1500)</f>
        <v>1500</v>
      </c>
      <c r="J378" s="269">
        <f ca="1">IFERROR(__xludf.DUMMYFUNCTION("IMPORTRANGE(""https://docs.google.com/spreadsheets/d/1XWAQStnk-4SwqDmLtmXYiTMKHgktTP8We1SCoS47DrQ/edit?usp=sharing"",""จัดที่ดิน!AI78"")"),1743.17)</f>
        <v>1743.17</v>
      </c>
      <c r="K378" s="497">
        <f t="shared" ca="1" si="64"/>
        <v>116.21133333333333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63" t="s">
        <v>35</v>
      </c>
      <c r="I379" s="269">
        <f ca="1">IFERROR(__xludf.DUMMYFUNCTION("IMPORTRANGE(""https://docs.google.com/spreadsheets/d/1QqKyyYR6Q21VydFLVH3TRQUabQu_ym0Zz7PgGX0-kHA/edit?usp=sharing"",""แผน!EU78"")"),800)</f>
        <v>800</v>
      </c>
      <c r="J379" s="269">
        <f ca="1">IFERROR(__xludf.DUMMYFUNCTION("IMPORTRANGE(""https://docs.google.com/spreadsheets/d/1XWAQStnk-4SwqDmLtmXYiTMKHgktTP8We1SCoS47DrQ/edit?usp=sharing"",""จัดที่ดิน!AJ78"")"),949)</f>
        <v>949</v>
      </c>
      <c r="K379" s="497">
        <f t="shared" ca="1" si="64"/>
        <v>118.625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63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IFERROR(__xludf.DUMMYFUNCTION("IMPORTRANGE(""https://docs.google.com/spreadsheets/d/1XWAQStnk-4SwqDmLtmXYiTMKHgktTP8We1SCoS47DrQ/edit?usp=sharing"",""จัดที่ดิน!AK78"")"),8822.88)</f>
        <v>8822.8799999999992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63" t="s">
        <v>35</v>
      </c>
      <c r="I381" s="269">
        <f ca="1">IFERROR(__xludf.DUMMYFUNCTION("IMPORTRANGE(""https://docs.google.com/spreadsheets/d/1QqKyyYR6Q21VydFLVH3TRQUabQu_ym0Zz7PgGX0-kHA/edit?usp=sharing"",""แผน!EU78"")"),800)</f>
        <v>800</v>
      </c>
      <c r="J381" s="269">
        <f ca="1">IFERROR(__xludf.DUMMYFUNCTION("IMPORTRANGE(""https://docs.google.com/spreadsheets/d/1XWAQStnk-4SwqDmLtmXYiTMKHgktTP8We1SCoS47DrQ/edit?usp=sharing"",""จัดที่ดิน!AL78"")"),777)</f>
        <v>777</v>
      </c>
      <c r="K381" s="497">
        <f t="shared" ca="1" si="64"/>
        <v>97.125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7"/>
      <c r="C382" s="170"/>
      <c r="D382" s="177"/>
      <c r="E382" s="447"/>
      <c r="F382" s="177"/>
      <c r="G382" s="178"/>
      <c r="H382" s="763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IFERROR(__xludf.DUMMYFUNCTION("IMPORTRANGE(""https://docs.google.com/spreadsheets/d/1XWAQStnk-4SwqDmLtmXYiTMKHgktTP8We1SCoS47DrQ/edit?usp=sharing"",""จัดที่ดิน!AM78"")"),7654.94)</f>
        <v>7654.94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498"/>
      <c r="B383" s="499"/>
      <c r="C383" s="290"/>
      <c r="D383" s="849" t="s">
        <v>169</v>
      </c>
      <c r="E383" s="290"/>
      <c r="F383" s="290"/>
      <c r="G383" s="501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4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761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503" t="s">
        <v>170</v>
      </c>
      <c r="F385" s="380"/>
      <c r="G385" s="381"/>
      <c r="H385" s="504" t="s">
        <v>35</v>
      </c>
      <c r="I385" s="505">
        <f ca="1">IFERROR(__xludf.DUMMYFUNCTION("IMPORTRANGE(""https://docs.google.com/spreadsheets/d/1QqKyyYR6Q21VydFLVH3TRQUabQu_ym0Zz7PgGX0-kHA/edit?usp=sharing"",""แผน!EW78"")"),40)</f>
        <v>40</v>
      </c>
      <c r="J385" s="505">
        <f ca="1">IFERROR(__xludf.DUMMYFUNCTION("IMPORTRANGE(""https://docs.google.com/spreadsheets/d/1XWAQStnk-4SwqDmLtmXYiTMKHgktTP8We1SCoS47DrQ/edit?usp=sharing"",""จัดที่ดิน!AP78"")"),16)</f>
        <v>16</v>
      </c>
      <c r="K385" s="506">
        <f ca="1">IF(I385&gt;0,J385*100/I385,0)</f>
        <v>40</v>
      </c>
      <c r="L385" s="384"/>
      <c r="M385" s="384"/>
      <c r="N385" s="384"/>
      <c r="O385" s="384"/>
      <c r="P385" s="384"/>
    </row>
    <row r="386" spans="1:26" ht="19.5" hidden="1">
      <c r="A386" s="507" t="s">
        <v>171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172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173</v>
      </c>
      <c r="C388" s="522"/>
      <c r="D388" s="523"/>
      <c r="E388" s="523"/>
      <c r="F388" s="523"/>
      <c r="G388" s="524"/>
      <c r="H388" s="525" t="s">
        <v>66</v>
      </c>
      <c r="I388" s="526">
        <f>I400</f>
        <v>0</v>
      </c>
      <c r="J388" s="526">
        <f>J400</f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6"/>
      <c r="B389" s="147"/>
      <c r="C389" s="148" t="s">
        <v>16</v>
      </c>
      <c r="D389" s="846" t="s">
        <v>17</v>
      </c>
      <c r="E389" s="147"/>
      <c r="F389" s="147"/>
      <c r="G389" s="150"/>
      <c r="H389" s="151" t="s">
        <v>12</v>
      </c>
      <c r="I389" s="420"/>
      <c r="J389" s="420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6"/>
      <c r="J390" s="616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6"/>
      <c r="J391" s="616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IFERROR(__xludf.DUMMYFUNCTION("IMPORTRANGE(""https://docs.google.com/spreadsheets/d/1MeEWN-I1oV_STSDYn1IFDPWt_1FKiwhDph83XaGc0o0/edit?usp=sharing"",""งบพรบ!FG78"")"),0)</f>
        <v>0</v>
      </c>
      <c r="M394" s="92">
        <f ca="1">IFERROR(__xludf.DUMMYFUNCTION("IMPORTRANGE(""https://docs.google.com/spreadsheets/d/1MeEWN-I1oV_STSDYn1IFDPWt_1FKiwhDph83XaGc0o0/edit?usp=sharing"",""งบพรบ!FL78"")"),0)</f>
        <v>0</v>
      </c>
      <c r="N394" s="92">
        <f ca="1">IFERROR(__xludf.DUMMYFUNCTION("IMPORTRANGE(""https://docs.google.com/spreadsheets/d/1MeEWN-I1oV_STSDYn1IFDPWt_1FKiwhDph83XaGc0o0/edit?usp=sharing"",""งบพรบ!FN78"")"),0)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IFERROR(__xludf.DUMMYFUNCTION("IMPORTRANGE(""https://docs.google.com/spreadsheets/d/1MeEWN-I1oV_STSDYn1IFDPWt_1FKiwhDph83XaGc0o0/edit?usp=sharing"",""งบพรบ!FJ78"")"),0)</f>
        <v>0</v>
      </c>
      <c r="M397" s="92">
        <f ca="1">IFERROR(__xludf.DUMMYFUNCTION("IMPORTRANGE(""https://docs.google.com/spreadsheets/d/1MeEWN-I1oV_STSDYn1IFDPWt_1FKiwhDph83XaGc0o0/edit?usp=sharing"",""งบพรบ!FM78"")"),0)</f>
        <v>0</v>
      </c>
      <c r="N397" s="92">
        <f ca="1">IFERROR(__xludf.DUMMYFUNCTION("IMPORTRANGE(""https://docs.google.com/spreadsheets/d/1MeEWN-I1oV_STSDYn1IFDPWt_1FKiwhDph83XaGc0o0/edit?usp=sharing"",""งบพรบ!FO78"")"),0)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47" t="s">
        <v>38</v>
      </c>
      <c r="E398" s="172"/>
      <c r="F398" s="172"/>
      <c r="G398" s="173"/>
      <c r="H398" s="761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9"/>
      <c r="B399" s="147"/>
      <c r="C399" s="530"/>
      <c r="D399" s="531" t="s">
        <v>174</v>
      </c>
      <c r="E399" s="415"/>
      <c r="F399" s="147"/>
      <c r="G399" s="150"/>
      <c r="H399" s="532" t="s">
        <v>9</v>
      </c>
      <c r="I399" s="269">
        <v>0</v>
      </c>
      <c r="J399" s="214">
        <v>0</v>
      </c>
      <c r="K399" s="497">
        <f>IF(I399&gt;0,J399*100/I399,0)</f>
        <v>0</v>
      </c>
      <c r="L399" s="533"/>
      <c r="M399" s="533"/>
      <c r="N399" s="533"/>
      <c r="O399" s="533"/>
      <c r="P399" s="533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3"/>
      <c r="B400" s="32"/>
      <c r="C400" s="280"/>
      <c r="D400" s="447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20"/>
      <c r="B401" s="521" t="s">
        <v>176</v>
      </c>
      <c r="C401" s="522"/>
      <c r="D401" s="523"/>
      <c r="E401" s="523"/>
      <c r="F401" s="523"/>
      <c r="G401" s="524"/>
      <c r="H401" s="525" t="s">
        <v>66</v>
      </c>
      <c r="I401" s="526">
        <f>I412</f>
        <v>0</v>
      </c>
      <c r="J401" s="526">
        <f>J412</f>
        <v>0</v>
      </c>
      <c r="K401" s="527">
        <f>IF(I401&gt;0,J401*100/I401,0)</f>
        <v>0</v>
      </c>
      <c r="L401" s="528"/>
      <c r="M401" s="528"/>
      <c r="N401" s="528"/>
      <c r="O401" s="528"/>
      <c r="P401" s="528"/>
    </row>
    <row r="402" spans="1:26" ht="19.5" hidden="1">
      <c r="A402" s="146"/>
      <c r="B402" s="147"/>
      <c r="C402" s="148" t="s">
        <v>16</v>
      </c>
      <c r="D402" s="846" t="s">
        <v>17</v>
      </c>
      <c r="E402" s="147"/>
      <c r="F402" s="147"/>
      <c r="G402" s="150"/>
      <c r="H402" s="151" t="s">
        <v>12</v>
      </c>
      <c r="I402" s="420"/>
      <c r="J402" s="420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6"/>
      <c r="J403" s="616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6"/>
      <c r="J404" s="616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IFERROR(__xludf.DUMMYFUNCTION("IMPORTRANGE(""https://docs.google.com/spreadsheets/d/1MeEWN-I1oV_STSDYn1IFDPWt_1FKiwhDph83XaGc0o0/edit?usp=sharing"",""งบพรบ!FQ78"")"),0)</f>
        <v>0</v>
      </c>
      <c r="M407" s="92">
        <f ca="1">IFERROR(__xludf.DUMMYFUNCTION("IMPORTRANGE(""https://docs.google.com/spreadsheets/d/1MeEWN-I1oV_STSDYn1IFDPWt_1FKiwhDph83XaGc0o0/edit?usp=sharing"",""งบพรบ!FV78"")"),0)</f>
        <v>0</v>
      </c>
      <c r="N407" s="92">
        <f ca="1">IFERROR(__xludf.DUMMYFUNCTION("IMPORTRANGE(""https://docs.google.com/spreadsheets/d/1MeEWN-I1oV_STSDYn1IFDPWt_1FKiwhDph83XaGc0o0/edit?usp=sharing"",""งบพรบ!FX78"")"),0)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IFERROR(__xludf.DUMMYFUNCTION("IMPORTRANGE(""https://docs.google.com/spreadsheets/d/1MeEWN-I1oV_STSDYn1IFDPWt_1FKiwhDph83XaGc0o0/edit?usp=sharing"",""งบพรบ!FT78"")"),0)</f>
        <v>0</v>
      </c>
      <c r="M410" s="92">
        <f ca="1">IFERROR(__xludf.DUMMYFUNCTION("IMPORTRANGE(""https://docs.google.com/spreadsheets/d/1MeEWN-I1oV_STSDYn1IFDPWt_1FKiwhDph83XaGc0o0/edit?usp=sharing"",""งบพรบ!FW78"")"),0)</f>
        <v>0</v>
      </c>
      <c r="N410" s="92">
        <f ca="1">IFERROR(__xludf.DUMMYFUNCTION("IMPORTRANGE(""https://docs.google.com/spreadsheets/d/1MeEWN-I1oV_STSDYn1IFDPWt_1FKiwhDph83XaGc0o0/edit?usp=sharing"",""งบพรบ!FY78"")"),0)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45" t="s">
        <v>38</v>
      </c>
      <c r="E411" s="535"/>
      <c r="F411" s="535"/>
      <c r="G411" s="536"/>
      <c r="H411" s="761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7" t="s">
        <v>177</v>
      </c>
      <c r="E412" s="177"/>
      <c r="F412" s="177"/>
      <c r="G412" s="178"/>
      <c r="H412" s="537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8"/>
      <c r="B413" s="539"/>
      <c r="C413" s="539"/>
      <c r="D413" s="540" t="s">
        <v>178</v>
      </c>
      <c r="E413" s="539"/>
      <c r="F413" s="539"/>
      <c r="G413" s="541"/>
      <c r="H413" s="542" t="s">
        <v>179</v>
      </c>
      <c r="I413" s="543">
        <v>0</v>
      </c>
      <c r="J413" s="544">
        <v>0</v>
      </c>
      <c r="K413" s="545">
        <f>IF(I413&gt;0,J413*100/I413,0)</f>
        <v>0</v>
      </c>
      <c r="L413" s="546"/>
      <c r="M413" s="546"/>
      <c r="N413" s="546"/>
      <c r="O413" s="546"/>
      <c r="P413" s="546"/>
    </row>
    <row r="414" spans="1:26" ht="19.5">
      <c r="A414" s="547" t="s">
        <v>180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ca="1">L419+L444+L467+L502+L523+L544+L629+L655+L685+L737+L754+L770+L786+L805</f>
        <v>809683</v>
      </c>
      <c r="M414" s="553">
        <f ca="1">M419+M444+M467+M502+M523+M544+M629+M655+M685+M737+M754+M770+M786+M805</f>
        <v>798236.36</v>
      </c>
      <c r="N414" s="553">
        <f>N419+N444+N467+N502+N523+N544+N629+N655+N685+N737+N754+N770+N786+N805</f>
        <v>798236.36</v>
      </c>
      <c r="O414" s="553">
        <f ca="1">IF(L414&gt;0,N414*100/L414,0)</f>
        <v>98.586281297742445</v>
      </c>
      <c r="P414" s="553">
        <f ca="1">IF(M414&gt;0,N414*100/M414,0)</f>
        <v>100</v>
      </c>
    </row>
    <row r="415" spans="1:26" ht="19.5">
      <c r="A415" s="554" t="s">
        <v>181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182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183</v>
      </c>
      <c r="C417" s="565"/>
      <c r="D417" s="566"/>
      <c r="E417" s="566"/>
      <c r="F417" s="566"/>
      <c r="G417" s="567"/>
      <c r="H417" s="568" t="s">
        <v>35</v>
      </c>
      <c r="I417" s="569">
        <f ca="1">I433</f>
        <v>20</v>
      </c>
      <c r="J417" s="569">
        <f ca="1">J433</f>
        <v>20</v>
      </c>
      <c r="K417" s="570">
        <f ca="1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ca="1">I434</f>
        <v>1</v>
      </c>
      <c r="J418" s="569">
        <f>J434</f>
        <v>1</v>
      </c>
      <c r="K418" s="570">
        <f ca="1">IF(I418&gt;0,J418*100/I418,0)</f>
        <v>100</v>
      </c>
      <c r="L418" s="571"/>
      <c r="M418" s="571"/>
      <c r="N418" s="571"/>
      <c r="O418" s="571"/>
      <c r="P418" s="571"/>
    </row>
    <row r="419" spans="1:26" ht="19.5">
      <c r="A419" s="146"/>
      <c r="B419" s="147"/>
      <c r="C419" s="147" t="s">
        <v>16</v>
      </c>
      <c r="D419" s="910" t="s">
        <v>17</v>
      </c>
      <c r="E419" s="890"/>
      <c r="F419" s="890"/>
      <c r="G419" s="150"/>
      <c r="H419" s="274" t="s">
        <v>12</v>
      </c>
      <c r="I419" s="420"/>
      <c r="J419" s="420"/>
      <c r="K419" s="153"/>
      <c r="L419" s="154">
        <f ca="1">L420+L421</f>
        <v>78660</v>
      </c>
      <c r="M419" s="154">
        <f ca="1">M420+M421</f>
        <v>57920</v>
      </c>
      <c r="N419" s="154">
        <f>N420+N421</f>
        <v>57920</v>
      </c>
      <c r="O419" s="154">
        <f t="shared" ref="O419:O424" ca="1" si="71">IF(L419&gt;0,N419*100/L419,0)</f>
        <v>73.63335875921689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6"/>
      <c r="J420" s="616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6"/>
      <c r="J421" s="616"/>
      <c r="K421" s="92"/>
      <c r="L421" s="92">
        <f t="shared" ca="1" si="73"/>
        <v>78660</v>
      </c>
      <c r="M421" s="92">
        <f t="shared" ca="1" si="73"/>
        <v>57920</v>
      </c>
      <c r="N421" s="92">
        <f t="shared" si="73"/>
        <v>57920</v>
      </c>
      <c r="O421" s="92">
        <f t="shared" ca="1" si="71"/>
        <v>73.63335875921689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78660</v>
      </c>
      <c r="M422" s="497">
        <f ca="1">M423+M424</f>
        <v>57920</v>
      </c>
      <c r="N422" s="497">
        <f>N423+N424</f>
        <v>57920</v>
      </c>
      <c r="O422" s="497">
        <f t="shared" ca="1" si="71"/>
        <v>73.63335875921689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6"/>
      <c r="J423" s="616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6"/>
      <c r="J424" s="616"/>
      <c r="K424" s="92"/>
      <c r="L424" s="92">
        <f ca="1">IFERROR(__xludf.DUMMYFUNCTION("IMPORTRANGE(""https://docs.google.com/spreadsheets/d/1QqKyyYR6Q21VydFLVH3TRQUabQu_ym0Zz7PgGX0-kHA/edit?usp=sharing"",""แผน!EY78"")"),78660)</f>
        <v>78660</v>
      </c>
      <c r="M424" s="92">
        <f ca="1">L424-20740</f>
        <v>57920</v>
      </c>
      <c r="N424" s="92">
        <f>N425+N426+N427+N428</f>
        <v>57920</v>
      </c>
      <c r="O424" s="92">
        <f t="shared" ca="1" si="71"/>
        <v>73.63335875921689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73"/>
      <c r="B425" s="574"/>
      <c r="C425" s="762"/>
      <c r="D425" s="762"/>
      <c r="E425" s="762"/>
      <c r="F425" s="762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826">
        <f>22120+960+3080+1500</f>
        <v>27660</v>
      </c>
      <c r="O425" s="497"/>
      <c r="P425" s="497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826">
        <v>0</v>
      </c>
      <c r="O426" s="497"/>
      <c r="P426" s="497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826">
        <v>0</v>
      </c>
      <c r="O427" s="497"/>
      <c r="P427" s="497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3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826">
        <f>1360+3375+1692+23833</f>
        <v>30260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IFERROR(__xludf.DUMMYFUNCTION("IMPORTRANGE(""https://docs.google.com/spreadsheets/d/1QqKyyYR6Q21VydFLVH3TRQUabQu_ym0Zz7PgGX0-kHA/edit?usp=sharing"",""แผน!FB78"")"),0)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4"/>
      <c r="B432" s="415"/>
      <c r="C432" s="147" t="s">
        <v>16</v>
      </c>
      <c r="D432" s="844" t="s">
        <v>38</v>
      </c>
      <c r="E432" s="579"/>
      <c r="F432" s="579"/>
      <c r="G432" s="580"/>
      <c r="H432" s="581"/>
      <c r="I432" s="420"/>
      <c r="J432" s="420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80">
        <f ca="1">I435</f>
        <v>20</v>
      </c>
      <c r="J433" s="680">
        <f ca="1">IF(AND(J435=I435,J437=I437,J439=I439),I437+I439,IF(AND(J435=I437,J437=I437),I437,IF(AND(J435=I439,J439=I439),I439,0)))</f>
        <v>20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80">
        <f ca="1">I438+I440</f>
        <v>1</v>
      </c>
      <c r="J434" s="680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7" t="s">
        <v>192</v>
      </c>
      <c r="E435" s="177"/>
      <c r="F435" s="177"/>
      <c r="G435" s="178"/>
      <c r="H435" s="622" t="s">
        <v>35</v>
      </c>
      <c r="I435" s="582">
        <f ca="1">IFERROR(__xludf.DUMMYFUNCTION("IMPORTRANGE(""https://docs.google.com/spreadsheets/d/1QqKyyYR6Q21VydFLVH3TRQUabQu_ym0Zz7PgGX0-kHA/edit?usp=sharing"",""แผน!FC78"")"),20)</f>
        <v>20</v>
      </c>
      <c r="J435" s="583">
        <v>20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7" t="s">
        <v>193</v>
      </c>
      <c r="E436" s="177"/>
      <c r="F436" s="177"/>
      <c r="G436" s="178"/>
      <c r="H436" s="622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7" t="s">
        <v>194</v>
      </c>
      <c r="E437" s="177"/>
      <c r="F437" s="177"/>
      <c r="G437" s="178"/>
      <c r="H437" s="622" t="s">
        <v>35</v>
      </c>
      <c r="I437" s="582">
        <f ca="1">IFERROR(__xludf.DUMMYFUNCTION("IMPORTRANGE(""https://docs.google.com/spreadsheets/d/1QqKyyYR6Q21VydFLVH3TRQUabQu_ym0Zz7PgGX0-kHA/edit?usp=sharing"",""แผน!FD78"")"),0)</f>
        <v>0</v>
      </c>
      <c r="J437" s="583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7" t="s">
        <v>195</v>
      </c>
      <c r="E438" s="177"/>
      <c r="F438" s="177"/>
      <c r="G438" s="178"/>
      <c r="H438" s="622" t="s">
        <v>49</v>
      </c>
      <c r="I438" s="269">
        <f ca="1">IFERROR(__xludf.DUMMYFUNCTION("IMPORTRANGE(""https://docs.google.com/spreadsheets/d/1QqKyyYR6Q21VydFLVH3TRQUabQu_ym0Zz7PgGX0-kHA/edit?usp=sharing"",""แผน!FE78"")"),0)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7" t="s">
        <v>196</v>
      </c>
      <c r="E439" s="177"/>
      <c r="F439" s="177"/>
      <c r="G439" s="178"/>
      <c r="H439" s="622" t="s">
        <v>35</v>
      </c>
      <c r="I439" s="582">
        <f ca="1">IFERROR(__xludf.DUMMYFUNCTION("IMPORTRANGE(""https://docs.google.com/spreadsheets/d/1QqKyyYR6Q21VydFLVH3TRQUabQu_ym0Zz7PgGX0-kHA/edit?usp=sharing"",""แผน!FF78"")"),20)</f>
        <v>20</v>
      </c>
      <c r="J439" s="583">
        <v>20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7" t="s">
        <v>197</v>
      </c>
      <c r="E440" s="177"/>
      <c r="F440" s="177"/>
      <c r="G440" s="178"/>
      <c r="H440" s="622" t="s">
        <v>49</v>
      </c>
      <c r="I440" s="269">
        <f ca="1">IFERROR(__xludf.DUMMYFUNCTION("IMPORTRANGE(""https://docs.google.com/spreadsheets/d/1QqKyyYR6Q21VydFLVH3TRQUabQu_ym0Zz7PgGX0-kHA/edit?usp=sharing"",""แผน!FG78"")"),1)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9"/>
      <c r="B441" s="170"/>
      <c r="C441" s="170"/>
      <c r="D441" s="366" t="s">
        <v>198</v>
      </c>
      <c r="E441" s="177"/>
      <c r="F441" s="177"/>
      <c r="G441" s="178"/>
      <c r="H441" s="622" t="s">
        <v>35</v>
      </c>
      <c r="I441" s="269">
        <f ca="1">IFERROR(__xludf.DUMMYFUNCTION("IMPORTRANGE(""https://docs.google.com/spreadsheets/d/1QqKyyYR6Q21VydFLVH3TRQUabQu_ym0Zz7PgGX0-kHA/edit?usp=sharing"",""แผน!FH78"")"),0)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84">
        <v>2</v>
      </c>
      <c r="B442" s="585" t="s">
        <v>199</v>
      </c>
      <c r="C442" s="586"/>
      <c r="D442" s="586"/>
      <c r="E442" s="586"/>
      <c r="F442" s="586"/>
      <c r="G442" s="587"/>
      <c r="H442" s="588" t="s">
        <v>35</v>
      </c>
      <c r="I442" s="589">
        <f ca="1">I460</f>
        <v>0</v>
      </c>
      <c r="J442" s="589">
        <f>J460</f>
        <v>0</v>
      </c>
      <c r="K442" s="590">
        <f t="shared" ca="1" si="7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ca="1">I462</f>
        <v>0</v>
      </c>
      <c r="J443" s="569">
        <f>J462</f>
        <v>0</v>
      </c>
      <c r="K443" s="570">
        <f t="shared" ca="1" si="7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887" t="s">
        <v>17</v>
      </c>
      <c r="E444" s="888"/>
      <c r="F444" s="888"/>
      <c r="G444" s="188"/>
      <c r="H444" s="597" t="s">
        <v>12</v>
      </c>
      <c r="I444" s="269"/>
      <c r="J444" s="269"/>
      <c r="K444" s="497"/>
      <c r="L444" s="194">
        <f ca="1">L445+L446</f>
        <v>0</v>
      </c>
      <c r="M444" s="194">
        <f>M445+M446</f>
        <v>0</v>
      </c>
      <c r="N444" s="194">
        <f>N445+N446</f>
        <v>0</v>
      </c>
      <c r="O444" s="194">
        <f t="shared" ref="O444:O449" ca="1" si="75">IF(L444&gt;0,N444*100/L444,0)</f>
        <v>0</v>
      </c>
      <c r="P444" s="194">
        <f t="shared" ref="P444:P449" si="76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184</v>
      </c>
      <c r="F445" s="758"/>
      <c r="G445" s="602"/>
      <c r="H445" s="164" t="s">
        <v>12</v>
      </c>
      <c r="I445" s="616"/>
      <c r="J445" s="616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185</v>
      </c>
      <c r="F446" s="758"/>
      <c r="G446" s="602"/>
      <c r="H446" s="164" t="s">
        <v>12</v>
      </c>
      <c r="I446" s="616"/>
      <c r="J446" s="616"/>
      <c r="K446" s="92"/>
      <c r="L446" s="92">
        <f t="shared" ca="1" si="77"/>
        <v>0</v>
      </c>
      <c r="M446" s="92">
        <f t="shared" si="77"/>
        <v>0</v>
      </c>
      <c r="N446" s="92">
        <f t="shared" si="77"/>
        <v>0</v>
      </c>
      <c r="O446" s="92">
        <f t="shared" ca="1" si="75"/>
        <v>0</v>
      </c>
      <c r="P446" s="92">
        <f t="shared" si="76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8"/>
      <c r="H447" s="160" t="s">
        <v>12</v>
      </c>
      <c r="I447" s="183"/>
      <c r="J447" s="183"/>
      <c r="K447" s="162"/>
      <c r="L447" s="497">
        <f ca="1">L448+L449</f>
        <v>0</v>
      </c>
      <c r="M447" s="497">
        <f>M448+M449</f>
        <v>0</v>
      </c>
      <c r="N447" s="497">
        <f>N448+N449</f>
        <v>0</v>
      </c>
      <c r="O447" s="497">
        <f t="shared" ca="1" si="75"/>
        <v>0</v>
      </c>
      <c r="P447" s="497">
        <f t="shared" si="76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184</v>
      </c>
      <c r="F448" s="758"/>
      <c r="G448" s="602"/>
      <c r="H448" s="164" t="s">
        <v>12</v>
      </c>
      <c r="I448" s="616"/>
      <c r="J448" s="616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185</v>
      </c>
      <c r="F449" s="758"/>
      <c r="G449" s="602"/>
      <c r="H449" s="164" t="s">
        <v>12</v>
      </c>
      <c r="I449" s="616"/>
      <c r="J449" s="616"/>
      <c r="K449" s="92"/>
      <c r="L449" s="92">
        <f ca="1">IFERROR(__xludf.DUMMYFUNCTION("IMPORTRANGE(""https://docs.google.com/spreadsheets/d/1QqKyyYR6Q21VydFLVH3TRQUabQu_ym0Zz7PgGX0-kHA/edit?usp=sharing"",""แผน!FJ78"")"),0)</f>
        <v>0</v>
      </c>
      <c r="M449" s="92">
        <v>0</v>
      </c>
      <c r="N449" s="92">
        <f>N450+N451+N452+N453</f>
        <v>0</v>
      </c>
      <c r="O449" s="92">
        <f t="shared" ca="1" si="75"/>
        <v>0</v>
      </c>
      <c r="P449" s="92">
        <f t="shared" si="76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826">
        <v>0</v>
      </c>
      <c r="O450" s="497"/>
      <c r="P450" s="497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826">
        <v>0</v>
      </c>
      <c r="O451" s="497"/>
      <c r="P451" s="497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826">
        <v>0</v>
      </c>
      <c r="O452" s="497"/>
      <c r="P452" s="497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826">
        <v>0</v>
      </c>
      <c r="O453" s="497"/>
      <c r="P453" s="497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IFERROR(__xludf.DUMMYFUNCTION("IMPORTRANGE(""https://docs.google.com/spreadsheets/d/1QqKyyYR6Q21VydFLVH3TRQUabQu_ym0Zz7PgGX0-kHA/edit?usp=sharing"",""แผน!FM78"")"),0)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40" t="s">
        <v>38</v>
      </c>
      <c r="E457" s="610"/>
      <c r="F457" s="760"/>
      <c r="G457" s="612"/>
      <c r="H457" s="761"/>
      <c r="I457" s="269"/>
      <c r="J457" s="269"/>
      <c r="K457" s="497"/>
      <c r="L457" s="497"/>
      <c r="M457" s="497"/>
      <c r="N457" s="497"/>
      <c r="O457" s="497"/>
      <c r="P457" s="497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200</v>
      </c>
      <c r="E458" s="615"/>
      <c r="F458" s="719"/>
      <c r="G458" s="365"/>
      <c r="H458" s="369" t="s">
        <v>35</v>
      </c>
      <c r="I458" s="616">
        <v>0</v>
      </c>
      <c r="J458" s="616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201</v>
      </c>
      <c r="E459" s="615"/>
      <c r="F459" s="719"/>
      <c r="G459" s="365"/>
      <c r="H459" s="369"/>
      <c r="I459" s="616"/>
      <c r="J459" s="616"/>
      <c r="K459" s="92"/>
      <c r="L459" s="92"/>
      <c r="M459" s="92"/>
      <c r="N459" s="92"/>
      <c r="O459" s="92"/>
      <c r="P459" s="92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202</v>
      </c>
      <c r="E460" s="617"/>
      <c r="F460" s="625"/>
      <c r="G460" s="761"/>
      <c r="H460" s="763" t="s">
        <v>35</v>
      </c>
      <c r="I460" s="269">
        <f ca="1">IFERROR(__xludf.DUMMYFUNCTION("IMPORTRANGE(""https://docs.google.com/spreadsheets/d/1QqKyyYR6Q21VydFLVH3TRQUabQu_ym0Zz7PgGX0-kHA/edit?usp=sharing"",""แผน!FN78"")"),0)</f>
        <v>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203</v>
      </c>
      <c r="E461" s="625"/>
      <c r="F461" s="625"/>
      <c r="G461" s="761"/>
      <c r="H461" s="763"/>
      <c r="I461" s="269"/>
      <c r="J461" s="269"/>
      <c r="K461" s="497"/>
      <c r="L461" s="497"/>
      <c r="M461" s="497"/>
      <c r="N461" s="497"/>
      <c r="O461" s="497"/>
      <c r="P461" s="497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204</v>
      </c>
      <c r="E462" s="625"/>
      <c r="F462" s="625"/>
      <c r="G462" s="761"/>
      <c r="H462" s="763" t="s">
        <v>46</v>
      </c>
      <c r="I462" s="269">
        <f ca="1">IFERROR(__xludf.DUMMYFUNCTION("IMPORTRANGE(""https://docs.google.com/spreadsheets/d/1QqKyyYR6Q21VydFLVH3TRQUabQu_ym0Zz7PgGX0-kHA/edit?usp=sharing"",""แผน!FO78"")"),0)</f>
        <v>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8"/>
      <c r="H463" s="763" t="s">
        <v>46</v>
      </c>
      <c r="I463" s="269">
        <f ca="1">IFERROR(__xludf.DUMMYFUNCTION("IMPORTRANGE(""https://docs.google.com/spreadsheets/d/1QqKyyYR6Q21VydFLVH3TRQUabQu_ym0Zz7PgGX0-kHA/edit?usp=sharing"",""แผน!FO78"")"),0)</f>
        <v>0</v>
      </c>
      <c r="J463" s="214">
        <v>0</v>
      </c>
      <c r="K463" s="497"/>
      <c r="L463" s="497"/>
      <c r="M463" s="497"/>
      <c r="N463" s="497"/>
      <c r="O463" s="497"/>
      <c r="P463" s="497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69">
        <f ca="1">IFERROR(__xludf.DUMMYFUNCTION("IMPORTRANGE(""https://docs.google.com/spreadsheets/d/1QqKyyYR6Q21VydFLVH3TRQUabQu_ym0Zz7PgGX0-kHA/edit?usp=sharing"",""แผน!FN78"")"),0)</f>
        <v>0</v>
      </c>
      <c r="J464" s="214">
        <v>0</v>
      </c>
      <c r="K464" s="497"/>
      <c r="L464" s="497"/>
      <c r="M464" s="497"/>
      <c r="N464" s="497"/>
      <c r="O464" s="497"/>
      <c r="P464" s="497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205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IFERROR(__xludf.DUMMYFUNCTION("IMPORTRANGE(""https://docs.google.com/spreadsheets/d/1QqKyyYR6Q21VydFLVH3TRQUabQu_ym0Zz7PgGX0-kHA/edit?usp=sharing"",""แผน!FX78"")"),21)</f>
        <v>21</v>
      </c>
      <c r="J465" s="589">
        <f>J485+J489+J492</f>
        <v>21</v>
      </c>
      <c r="K465" s="590">
        <f ca="1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IFERROR(__xludf.DUMMYFUNCTION("IMPORTRANGE(""https://docs.google.com/spreadsheets/d/1QqKyyYR6Q21VydFLVH3TRQUabQu_ym0Zz7PgGX0-kHA/edit?usp=sharing"",""แผน!FW78"")"),200)</f>
        <v>200</v>
      </c>
      <c r="J466" s="569">
        <f>J495+J498</f>
        <v>180</v>
      </c>
      <c r="K466" s="570">
        <f ca="1">IF(I466&gt;0,J466*100/I466,0)</f>
        <v>90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87" t="s">
        <v>17</v>
      </c>
      <c r="E467" s="888"/>
      <c r="F467" s="888"/>
      <c r="G467" s="188"/>
      <c r="H467" s="597" t="s">
        <v>12</v>
      </c>
      <c r="I467" s="269"/>
      <c r="J467" s="269"/>
      <c r="K467" s="497"/>
      <c r="L467" s="194">
        <f ca="1">L468+L469</f>
        <v>174403</v>
      </c>
      <c r="M467" s="194">
        <f ca="1">M468+M469</f>
        <v>187163</v>
      </c>
      <c r="N467" s="194">
        <f>N468+N469</f>
        <v>187163</v>
      </c>
      <c r="O467" s="194">
        <f t="shared" ref="O467:O472" ca="1" si="78">IF(L467&gt;0,N467*100/L467,0)</f>
        <v>107.31638790617134</v>
      </c>
      <c r="P467" s="194">
        <f t="shared" ref="P467:P472" ca="1" si="79">IF(M467&gt;0,N467*100/M467,0)</f>
        <v>100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184</v>
      </c>
      <c r="F468" s="758"/>
      <c r="G468" s="602"/>
      <c r="H468" s="164" t="s">
        <v>12</v>
      </c>
      <c r="I468" s="616"/>
      <c r="J468" s="616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185</v>
      </c>
      <c r="F469" s="758"/>
      <c r="G469" s="602"/>
      <c r="H469" s="164" t="s">
        <v>12</v>
      </c>
      <c r="I469" s="616"/>
      <c r="J469" s="616"/>
      <c r="K469" s="92"/>
      <c r="L469" s="92">
        <f t="shared" ca="1" si="80"/>
        <v>174403</v>
      </c>
      <c r="M469" s="92">
        <f t="shared" ca="1" si="80"/>
        <v>187163</v>
      </c>
      <c r="N469" s="92">
        <f t="shared" si="80"/>
        <v>187163</v>
      </c>
      <c r="O469" s="92">
        <f t="shared" ca="1" si="78"/>
        <v>107.31638790617134</v>
      </c>
      <c r="P469" s="92">
        <f t="shared" ca="1" si="79"/>
        <v>100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8"/>
      <c r="H470" s="160" t="s">
        <v>12</v>
      </c>
      <c r="I470" s="183"/>
      <c r="J470" s="183"/>
      <c r="K470" s="162"/>
      <c r="L470" s="497">
        <f ca="1">L471+L472</f>
        <v>174403</v>
      </c>
      <c r="M470" s="497">
        <f ca="1">M471+M472</f>
        <v>187163</v>
      </c>
      <c r="N470" s="497">
        <f>N471+N472</f>
        <v>187163</v>
      </c>
      <c r="O470" s="497">
        <f t="shared" ca="1" si="78"/>
        <v>107.31638790617134</v>
      </c>
      <c r="P470" s="497">
        <f t="shared" ca="1" si="79"/>
        <v>100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184</v>
      </c>
      <c r="F471" s="758"/>
      <c r="G471" s="602"/>
      <c r="H471" s="164" t="s">
        <v>12</v>
      </c>
      <c r="I471" s="616"/>
      <c r="J471" s="616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185</v>
      </c>
      <c r="F472" s="758"/>
      <c r="G472" s="602"/>
      <c r="H472" s="164" t="s">
        <v>12</v>
      </c>
      <c r="I472" s="616"/>
      <c r="J472" s="616"/>
      <c r="K472" s="92"/>
      <c r="L472" s="92">
        <f ca="1">IFERROR(__xludf.DUMMYFUNCTION("IMPORTRANGE(""https://docs.google.com/spreadsheets/d/1QqKyyYR6Q21VydFLVH3TRQUabQu_ym0Zz7PgGX0-kHA/edit?usp=sharing"",""แผน!FS78"")"),174403)</f>
        <v>174403</v>
      </c>
      <c r="M472" s="92">
        <f ca="1">L472+12760</f>
        <v>187163</v>
      </c>
      <c r="N472" s="92">
        <f>N473+N474+N475+N476</f>
        <v>187163</v>
      </c>
      <c r="O472" s="92">
        <f t="shared" ca="1" si="78"/>
        <v>107.31638790617134</v>
      </c>
      <c r="P472" s="92">
        <f t="shared" ca="1" si="79"/>
        <v>100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826">
        <f>37823-220</f>
        <v>37603</v>
      </c>
      <c r="O473" s="497"/>
      <c r="P473" s="497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826">
        <f>4010+2968+88000+40000+3431</f>
        <v>138409</v>
      </c>
      <c r="O474" s="497"/>
      <c r="P474" s="497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826">
        <v>0</v>
      </c>
      <c r="O475" s="497"/>
      <c r="P475" s="497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826">
        <f>4201+120+360+240+550+240+2840+1480+1120</f>
        <v>11151</v>
      </c>
      <c r="O476" s="497"/>
      <c r="P476" s="497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IFERROR(__xludf.DUMMYFUNCTION("IMPORTRANGE(""https://docs.google.com/spreadsheets/d/1QqKyyYR6Q21VydFLVH3TRQUabQu_ym0Zz7PgGX0-kHA/edit?usp=sharing"",""แผน!FV78"")"),0)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43" t="s">
        <v>38</v>
      </c>
      <c r="E480" s="610"/>
      <c r="F480" s="760"/>
      <c r="G480" s="612"/>
      <c r="H480" s="761"/>
      <c r="I480" s="269"/>
      <c r="J480" s="269"/>
      <c r="K480" s="497"/>
      <c r="L480" s="497"/>
      <c r="M480" s="497"/>
      <c r="N480" s="497"/>
      <c r="O480" s="497"/>
      <c r="P480" s="497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206</v>
      </c>
      <c r="E481" s="617"/>
      <c r="F481" s="617"/>
      <c r="G481" s="761"/>
      <c r="H481" s="188"/>
      <c r="I481" s="269"/>
      <c r="J481" s="269"/>
      <c r="K481" s="497"/>
      <c r="L481" s="497"/>
      <c r="M481" s="497"/>
      <c r="N481" s="497"/>
      <c r="O481" s="497"/>
      <c r="P481" s="497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207</v>
      </c>
      <c r="F482" s="617"/>
      <c r="G482" s="761"/>
      <c r="H482" s="188"/>
      <c r="I482" s="269"/>
      <c r="J482" s="269"/>
      <c r="K482" s="497"/>
      <c r="L482" s="497"/>
      <c r="M482" s="497"/>
      <c r="N482" s="497"/>
      <c r="O482" s="497"/>
      <c r="P482" s="497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208</v>
      </c>
      <c r="G483" s="761"/>
      <c r="H483" s="622" t="s">
        <v>46</v>
      </c>
      <c r="I483" s="269">
        <f ca="1">IFERROR(__xludf.DUMMYFUNCTION("IMPORTRANGE(""https://docs.google.com/spreadsheets/d/1QqKyyYR6Q21VydFLVH3TRQUabQu_ym0Zz7PgGX0-kHA/edit?usp=sharing"",""แผน!FY78"")"),180)</f>
        <v>180</v>
      </c>
      <c r="J483" s="214">
        <v>160</v>
      </c>
      <c r="K483" s="497">
        <f ca="1">IF(I483&gt;0,J483*100/I483,0)</f>
        <v>88.888888888888886</v>
      </c>
      <c r="L483" s="497"/>
      <c r="M483" s="497"/>
      <c r="N483" s="497"/>
      <c r="O483" s="497"/>
      <c r="P483" s="497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209</v>
      </c>
      <c r="G484" s="761"/>
      <c r="H484" s="622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210</v>
      </c>
      <c r="G485" s="761"/>
      <c r="H485" s="622" t="s">
        <v>35</v>
      </c>
      <c r="I485" s="269">
        <f ca="1">IFERROR(__xludf.DUMMYFUNCTION("IMPORTRANGE(""https://docs.google.com/spreadsheets/d/1QqKyyYR6Q21VydFLVH3TRQUabQu_ym0Zz7PgGX0-kHA/edit?usp=sharing"",""แผน!FZ78"")"),18)</f>
        <v>18</v>
      </c>
      <c r="J485" s="214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69"/>
      <c r="J486" s="269"/>
      <c r="K486" s="497"/>
      <c r="L486" s="497"/>
      <c r="M486" s="497"/>
      <c r="N486" s="497"/>
      <c r="O486" s="497"/>
      <c r="P486" s="497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208</v>
      </c>
      <c r="G487" s="761"/>
      <c r="H487" s="622" t="s">
        <v>46</v>
      </c>
      <c r="I487" s="269">
        <f ca="1">IFERROR(__xludf.DUMMYFUNCTION("IMPORTRANGE(""https://docs.google.com/spreadsheets/d/1QqKyyYR6Q21VydFLVH3TRQUabQu_ym0Zz7PgGX0-kHA/edit?usp=sharing"",""แผน!GA78"")"),20)</f>
        <v>20</v>
      </c>
      <c r="J487" s="214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211</v>
      </c>
      <c r="G488" s="761"/>
      <c r="H488" s="622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212</v>
      </c>
      <c r="G489" s="761"/>
      <c r="H489" s="622" t="s">
        <v>35</v>
      </c>
      <c r="I489" s="269">
        <f ca="1">IFERROR(__xludf.DUMMYFUNCTION("IMPORTRANGE(""https://docs.google.com/spreadsheets/d/1QqKyyYR6Q21VydFLVH3TRQUabQu_ym0Zz7PgGX0-kHA/edit?usp=sharing"",""แผน!GB78"")"),2)</f>
        <v>2</v>
      </c>
      <c r="J489" s="214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69"/>
      <c r="J490" s="269"/>
      <c r="K490" s="497"/>
      <c r="L490" s="497"/>
      <c r="M490" s="497"/>
      <c r="N490" s="497"/>
      <c r="O490" s="497"/>
      <c r="P490" s="497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213</v>
      </c>
      <c r="G491" s="761"/>
      <c r="H491" s="622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214</v>
      </c>
      <c r="G492" s="761"/>
      <c r="H492" s="622" t="s">
        <v>35</v>
      </c>
      <c r="I492" s="269">
        <f ca="1">IFERROR(__xludf.DUMMYFUNCTION("IMPORTRANGE(""https://docs.google.com/spreadsheets/d/1QqKyyYR6Q21VydFLVH3TRQUabQu_ym0Zz7PgGX0-kHA/edit?usp=sharing"",""แผน!GC78"")"),1)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8"/>
      <c r="I493" s="269"/>
      <c r="J493" s="269"/>
      <c r="K493" s="497"/>
      <c r="L493" s="497"/>
      <c r="M493" s="497"/>
      <c r="N493" s="497"/>
      <c r="O493" s="497"/>
      <c r="P493" s="497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207</v>
      </c>
      <c r="F494" s="625"/>
      <c r="G494" s="761"/>
      <c r="H494" s="188"/>
      <c r="I494" s="269"/>
      <c r="J494" s="269"/>
      <c r="K494" s="497"/>
      <c r="L494" s="497"/>
      <c r="M494" s="497"/>
      <c r="N494" s="497"/>
      <c r="O494" s="497"/>
      <c r="P494" s="497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215</v>
      </c>
      <c r="G495" s="761"/>
      <c r="H495" s="622" t="s">
        <v>46</v>
      </c>
      <c r="I495" s="269">
        <f ca="1">IFERROR(__xludf.DUMMYFUNCTION("IMPORTRANGE(""https://docs.google.com/spreadsheets/d/1QqKyyYR6Q21VydFLVH3TRQUabQu_ym0Zz7PgGX0-kHA/edit?usp=sharing"",""แผน!FY78"")"),180)</f>
        <v>180</v>
      </c>
      <c r="J495" s="214">
        <v>160</v>
      </c>
      <c r="K495" s="497">
        <f ca="1">IF(I495&gt;0,J495*100/I495,0)</f>
        <v>88.888888888888886</v>
      </c>
      <c r="L495" s="497"/>
      <c r="M495" s="497"/>
      <c r="N495" s="497"/>
      <c r="O495" s="497"/>
      <c r="P495" s="497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216</v>
      </c>
      <c r="G496" s="761"/>
      <c r="H496" s="622" t="s">
        <v>46</v>
      </c>
      <c r="I496" s="269"/>
      <c r="J496" s="214">
        <v>20</v>
      </c>
      <c r="K496" s="497"/>
      <c r="L496" s="497"/>
      <c r="M496" s="497"/>
      <c r="N496" s="497"/>
      <c r="O496" s="497"/>
      <c r="P496" s="497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8"/>
      <c r="I497" s="269"/>
      <c r="J497" s="269"/>
      <c r="K497" s="497"/>
      <c r="L497" s="497"/>
      <c r="M497" s="497"/>
      <c r="N497" s="497"/>
      <c r="O497" s="497"/>
      <c r="P497" s="497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217</v>
      </c>
      <c r="G498" s="761"/>
      <c r="H498" s="622" t="s">
        <v>46</v>
      </c>
      <c r="I498" s="269">
        <f ca="1">IFERROR(__xludf.DUMMYFUNCTION("IMPORTRANGE(""https://docs.google.com/spreadsheets/d/1QqKyyYR6Q21VydFLVH3TRQUabQu_ym0Zz7PgGX0-kHA/edit?usp=sharing"",""แผน!GA78"")"),20)</f>
        <v>20</v>
      </c>
      <c r="J498" s="214">
        <v>20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218</v>
      </c>
      <c r="G499" s="761"/>
      <c r="H499" s="622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219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>J516</f>
        <v>0</v>
      </c>
      <c r="K500" s="633">
        <f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220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>J517</f>
        <v>0</v>
      </c>
      <c r="K501" s="642">
        <f>IF(I501&gt;0,J501*100/I501,0)</f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92" t="s">
        <v>17</v>
      </c>
      <c r="E502" s="888"/>
      <c r="F502" s="888"/>
      <c r="G502" s="602"/>
      <c r="H502" s="645" t="s">
        <v>12</v>
      </c>
      <c r="I502" s="616"/>
      <c r="J502" s="616"/>
      <c r="K502" s="92"/>
      <c r="L502" s="646">
        <f>L503+L504</f>
        <v>0</v>
      </c>
      <c r="M502" s="646">
        <f>M503+M504</f>
        <v>0</v>
      </c>
      <c r="N502" s="646">
        <f>N503+N504</f>
        <v>0</v>
      </c>
      <c r="O502" s="646">
        <f t="shared" ref="O502:O507" si="81">IF(L502&gt;0,N502*100/L502,0)</f>
        <v>0</v>
      </c>
      <c r="P502" s="646">
        <f t="shared" ref="P502:P507" si="82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184</v>
      </c>
      <c r="F503" s="758"/>
      <c r="G503" s="602"/>
      <c r="H503" s="164" t="s">
        <v>12</v>
      </c>
      <c r="I503" s="616"/>
      <c r="J503" s="616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185</v>
      </c>
      <c r="F504" s="758"/>
      <c r="G504" s="602"/>
      <c r="H504" s="164" t="s">
        <v>12</v>
      </c>
      <c r="I504" s="616"/>
      <c r="J504" s="616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184</v>
      </c>
      <c r="F506" s="758"/>
      <c r="G506" s="602"/>
      <c r="H506" s="164" t="s">
        <v>12</v>
      </c>
      <c r="I506" s="616"/>
      <c r="J506" s="616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185</v>
      </c>
      <c r="F507" s="758"/>
      <c r="G507" s="602"/>
      <c r="H507" s="164" t="s">
        <v>12</v>
      </c>
      <c r="I507" s="616"/>
      <c r="J507" s="616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186</v>
      </c>
      <c r="G508" s="602"/>
      <c r="H508" s="164" t="s">
        <v>12</v>
      </c>
      <c r="I508" s="616"/>
      <c r="J508" s="616"/>
      <c r="K508" s="92"/>
      <c r="L508" s="92"/>
      <c r="M508" s="92"/>
      <c r="N508" s="92">
        <v>0</v>
      </c>
      <c r="O508" s="92"/>
      <c r="P508" s="92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187</v>
      </c>
      <c r="G509" s="602"/>
      <c r="H509" s="164" t="s">
        <v>12</v>
      </c>
      <c r="I509" s="616"/>
      <c r="J509" s="616"/>
      <c r="K509" s="92"/>
      <c r="L509" s="92"/>
      <c r="M509" s="92"/>
      <c r="N509" s="92">
        <v>0</v>
      </c>
      <c r="O509" s="92"/>
      <c r="P509" s="92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188</v>
      </c>
      <c r="G510" s="602"/>
      <c r="H510" s="164" t="s">
        <v>12</v>
      </c>
      <c r="I510" s="616"/>
      <c r="J510" s="616"/>
      <c r="K510" s="92"/>
      <c r="L510" s="92"/>
      <c r="M510" s="92"/>
      <c r="N510" s="92">
        <v>0</v>
      </c>
      <c r="O510" s="92"/>
      <c r="P510" s="92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189</v>
      </c>
      <c r="G511" s="602"/>
      <c r="H511" s="164" t="s">
        <v>12</v>
      </c>
      <c r="I511" s="616"/>
      <c r="J511" s="616"/>
      <c r="K511" s="92"/>
      <c r="L511" s="92"/>
      <c r="M511" s="92"/>
      <c r="N511" s="92">
        <v>0</v>
      </c>
      <c r="O511" s="92"/>
      <c r="P511" s="92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42" t="s">
        <v>38</v>
      </c>
      <c r="E515" s="650"/>
      <c r="F515" s="650"/>
      <c r="G515" s="651"/>
      <c r="H515" s="365"/>
      <c r="I515" s="165"/>
      <c r="J515" s="165"/>
      <c r="K515" s="166"/>
      <c r="L515" s="166"/>
      <c r="M515" s="166"/>
      <c r="N515" s="166"/>
      <c r="O515" s="166"/>
      <c r="P515" s="166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221</v>
      </c>
      <c r="E516" s="719"/>
      <c r="F516" s="719"/>
      <c r="G516" s="365"/>
      <c r="H516" s="652" t="s">
        <v>109</v>
      </c>
      <c r="I516" s="616"/>
      <c r="J516" s="616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222</v>
      </c>
      <c r="E517" s="719"/>
      <c r="F517" s="719"/>
      <c r="G517" s="365"/>
      <c r="H517" s="653" t="s">
        <v>35</v>
      </c>
      <c r="I517" s="654"/>
      <c r="J517" s="654">
        <f>J518+J519</f>
        <v>0</v>
      </c>
      <c r="K517" s="655">
        <f>IF(I517&gt;0,J517*100/I517,0)</f>
        <v>0</v>
      </c>
      <c r="L517" s="166"/>
      <c r="M517" s="166"/>
      <c r="N517" s="166"/>
      <c r="O517" s="166"/>
      <c r="P517" s="166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223</v>
      </c>
      <c r="F518" s="719"/>
      <c r="G518" s="365"/>
      <c r="H518" s="369" t="s">
        <v>35</v>
      </c>
      <c r="I518" s="616"/>
      <c r="J518" s="616"/>
      <c r="K518" s="166"/>
      <c r="L518" s="166"/>
      <c r="M518" s="166"/>
      <c r="N518" s="166"/>
      <c r="O518" s="166"/>
      <c r="P518" s="166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224</v>
      </c>
      <c r="F519" s="719"/>
      <c r="G519" s="365"/>
      <c r="H519" s="652" t="s">
        <v>35</v>
      </c>
      <c r="I519" s="616"/>
      <c r="J519" s="616"/>
      <c r="K519" s="166"/>
      <c r="L519" s="166"/>
      <c r="M519" s="166"/>
      <c r="N519" s="166"/>
      <c r="O519" s="166"/>
      <c r="P519" s="166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225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226</v>
      </c>
      <c r="C522" s="672"/>
      <c r="D522" s="672"/>
      <c r="E522" s="672"/>
      <c r="F522" s="672"/>
      <c r="G522" s="673"/>
      <c r="H522" s="674" t="s">
        <v>35</v>
      </c>
      <c r="I522" s="707">
        <f ca="1">I537</f>
        <v>0</v>
      </c>
      <c r="J522" s="707">
        <f ca="1">J537</f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87" t="s">
        <v>17</v>
      </c>
      <c r="E523" s="888"/>
      <c r="F523" s="888"/>
      <c r="G523" s="188"/>
      <c r="H523" s="597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184</v>
      </c>
      <c r="F524" s="758"/>
      <c r="G524" s="602"/>
      <c r="H524" s="164" t="s">
        <v>12</v>
      </c>
      <c r="I524" s="616"/>
      <c r="J524" s="616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185</v>
      </c>
      <c r="F525" s="758"/>
      <c r="G525" s="602"/>
      <c r="H525" s="164" t="s">
        <v>12</v>
      </c>
      <c r="I525" s="616"/>
      <c r="J525" s="616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184</v>
      </c>
      <c r="F527" s="758"/>
      <c r="G527" s="602"/>
      <c r="H527" s="164" t="s">
        <v>12</v>
      </c>
      <c r="I527" s="616"/>
      <c r="J527" s="616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185</v>
      </c>
      <c r="F528" s="758"/>
      <c r="G528" s="602"/>
      <c r="H528" s="164" t="s">
        <v>12</v>
      </c>
      <c r="I528" s="616"/>
      <c r="J528" s="616"/>
      <c r="K528" s="92"/>
      <c r="L528" s="92">
        <f ca="1">IFERROR(__xludf.DUMMYFUNCTION("IMPORTRANGE(""https://docs.google.com/spreadsheets/d/1QqKyyYR6Q21VydFLVH3TRQUabQu_ym0Zz7PgGX0-kHA/edit?usp=sharing"",""แผน!GQ78"")"),0)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826">
        <v>0</v>
      </c>
      <c r="O529" s="497"/>
      <c r="P529" s="497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826">
        <v>0</v>
      </c>
      <c r="O530" s="497"/>
      <c r="P530" s="497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826">
        <v>0</v>
      </c>
      <c r="O531" s="497"/>
      <c r="P531" s="497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826">
        <v>0</v>
      </c>
      <c r="O532" s="497"/>
      <c r="P532" s="497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IFERROR(__xludf.DUMMYFUNCTION("IMPORTRANGE(""https://docs.google.com/spreadsheets/d/1QqKyyYR6Q21VydFLVH3TRQUabQu_ym0Zz7PgGX0-kHA/edit?usp=sharing"",""แผน!GT78"")"),0)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41" t="s">
        <v>38</v>
      </c>
      <c r="E536" s="760"/>
      <c r="F536" s="760"/>
      <c r="G536" s="612"/>
      <c r="H536" s="761"/>
      <c r="I536" s="183"/>
      <c r="J536" s="183"/>
      <c r="K536" s="162"/>
      <c r="L536" s="162"/>
      <c r="M536" s="162"/>
      <c r="N536" s="162"/>
      <c r="O536" s="162"/>
      <c r="P536" s="162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227</v>
      </c>
      <c r="E537" s="762"/>
      <c r="F537" s="762"/>
      <c r="G537" s="188"/>
      <c r="H537" s="622" t="s">
        <v>35</v>
      </c>
      <c r="I537" s="680">
        <f ca="1">IFERROR(__xludf.DUMMYFUNCTION("IMPORTRANGE(""https://docs.google.com/spreadsheets/d/1QqKyyYR6Q21VydFLVH3TRQUabQu_ym0Zz7PgGX0-kHA/edit?usp=sharing"",""แผน!GU78"")"),0)</f>
        <v>0</v>
      </c>
      <c r="J537" s="680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228</v>
      </c>
      <c r="F538" s="762"/>
      <c r="G538" s="188"/>
      <c r="H538" s="622" t="s">
        <v>35</v>
      </c>
      <c r="I538" s="269">
        <f ca="1">IFERROR(__xludf.DUMMYFUNCTION("IMPORTRANGE(""https://docs.google.com/spreadsheets/d/1QqKyyYR6Q21VydFLVH3TRQUabQu_ym0Zz7PgGX0-kHA/edit?usp=sharing"",""แผน!GV78"")"),0)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229</v>
      </c>
      <c r="F539" s="762"/>
      <c r="G539" s="188"/>
      <c r="H539" s="622" t="s">
        <v>35</v>
      </c>
      <c r="I539" s="269">
        <f ca="1">IFERROR(__xludf.DUMMYFUNCTION("IMPORTRANGE(""https://docs.google.com/spreadsheets/d/1QqKyyYR6Q21VydFLVH3TRQUabQu_ym0Zz7PgGX0-kHA/edit?usp=sharing"",""แผน!GW78"")"),0)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230</v>
      </c>
      <c r="F540" s="762"/>
      <c r="G540" s="188"/>
      <c r="H540" s="622" t="s">
        <v>35</v>
      </c>
      <c r="I540" s="269">
        <f ca="1">IFERROR(__xludf.DUMMYFUNCTION("IMPORTRANGE(""https://docs.google.com/spreadsheets/d/1QqKyyYR6Q21VydFLVH3TRQUabQu_ym0Zz7PgGX0-kHA/edit?usp=sharing"",""แผน!GX78"")"),0)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231</v>
      </c>
      <c r="F541" s="762"/>
      <c r="G541" s="188"/>
      <c r="H541" s="622" t="s">
        <v>35</v>
      </c>
      <c r="I541" s="269">
        <f ca="1">IFERROR(__xludf.DUMMYFUNCTION("IMPORTRANGE(""https://docs.google.com/spreadsheets/d/1QqKyyYR6Q21VydFLVH3TRQUabQu_ym0Zz7PgGX0-kHA/edit?usp=sharing"",""แผน!GY78"")"),0)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8"/>
      <c r="H542" s="622" t="s">
        <v>35</v>
      </c>
      <c r="I542" s="269">
        <f ca="1">IFERROR(__xludf.DUMMYFUNCTION("IMPORTRANGE(""https://docs.google.com/spreadsheets/d/1QqKyyYR6Q21VydFLVH3TRQUabQu_ym0Zz7PgGX0-kHA/edit?usp=sharing"",""แผน!GZ78"")"),0)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232</v>
      </c>
      <c r="C543" s="666"/>
      <c r="D543" s="666"/>
      <c r="E543" s="666"/>
      <c r="F543" s="666"/>
      <c r="G543" s="667"/>
      <c r="H543" s="685" t="s">
        <v>46</v>
      </c>
      <c r="I543" s="686">
        <f ca="1">I559</f>
        <v>29942.71</v>
      </c>
      <c r="J543" s="686">
        <f>J559</f>
        <v>29942.71</v>
      </c>
      <c r="K543" s="687">
        <f t="shared" ca="1" si="87"/>
        <v>100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911" t="s">
        <v>17</v>
      </c>
      <c r="E544" s="890"/>
      <c r="F544" s="890"/>
      <c r="G544" s="690"/>
      <c r="H544" s="274" t="s">
        <v>12</v>
      </c>
      <c r="I544" s="420"/>
      <c r="J544" s="420"/>
      <c r="K544" s="153"/>
      <c r="L544" s="154">
        <f ca="1">L545+L546</f>
        <v>335175</v>
      </c>
      <c r="M544" s="154">
        <f ca="1">M545+M546</f>
        <v>331708.36</v>
      </c>
      <c r="N544" s="154">
        <f>N545+N546</f>
        <v>331708.36</v>
      </c>
      <c r="O544" s="154">
        <f t="shared" ref="O544:O549" ca="1" si="88">IF(L544&gt;0,N544*100/L544,0)</f>
        <v>98.965722383829345</v>
      </c>
      <c r="P544" s="154">
        <f t="shared" ref="P544:P549" ca="1" si="89">IF(M544&gt;0,N544*100/M544,0)</f>
        <v>100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184</v>
      </c>
      <c r="F545" s="758"/>
      <c r="G545" s="602"/>
      <c r="H545" s="164" t="s">
        <v>12</v>
      </c>
      <c r="I545" s="616"/>
      <c r="J545" s="616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185</v>
      </c>
      <c r="F546" s="758"/>
      <c r="G546" s="602"/>
      <c r="H546" s="164" t="s">
        <v>12</v>
      </c>
      <c r="I546" s="616"/>
      <c r="J546" s="616"/>
      <c r="K546" s="92"/>
      <c r="L546" s="92">
        <f ca="1">L549+L557</f>
        <v>335175</v>
      </c>
      <c r="M546" s="92">
        <f ca="1">M549+M556</f>
        <v>331708.36</v>
      </c>
      <c r="N546" s="92">
        <f>N549+N556</f>
        <v>331708.36</v>
      </c>
      <c r="O546" s="92">
        <f t="shared" ca="1" si="88"/>
        <v>98.965722383829345</v>
      </c>
      <c r="P546" s="92">
        <f t="shared" ca="1" si="89"/>
        <v>100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8"/>
      <c r="H547" s="160" t="s">
        <v>12</v>
      </c>
      <c r="I547" s="183"/>
      <c r="J547" s="183"/>
      <c r="K547" s="162"/>
      <c r="L547" s="497">
        <f ca="1">L548+L549</f>
        <v>335175</v>
      </c>
      <c r="M547" s="497">
        <f ca="1">M548+M549</f>
        <v>331708.36</v>
      </c>
      <c r="N547" s="497">
        <f>N548+N549</f>
        <v>331708.36</v>
      </c>
      <c r="O547" s="497">
        <f t="shared" ca="1" si="88"/>
        <v>98.965722383829345</v>
      </c>
      <c r="P547" s="497">
        <f t="shared" ca="1" si="89"/>
        <v>100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184</v>
      </c>
      <c r="F548" s="758"/>
      <c r="G548" s="602"/>
      <c r="H548" s="164" t="s">
        <v>12</v>
      </c>
      <c r="I548" s="616"/>
      <c r="J548" s="616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185</v>
      </c>
      <c r="F549" s="758"/>
      <c r="G549" s="602"/>
      <c r="H549" s="164" t="s">
        <v>12</v>
      </c>
      <c r="I549" s="616"/>
      <c r="J549" s="616"/>
      <c r="K549" s="92"/>
      <c r="L549" s="92">
        <f ca="1">IFERROR(__xludf.DUMMYFUNCTION("IMPORTRANGE(""https://docs.google.com/spreadsheets/d/1QqKyyYR6Q21VydFLVH3TRQUabQu_ym0Zz7PgGX0-kHA/edit?usp=sharing"",""แผน!HB78"")"),335175)</f>
        <v>335175</v>
      </c>
      <c r="M549" s="92">
        <f ca="1">L549-2166.65-1299.99</f>
        <v>331708.36</v>
      </c>
      <c r="N549" s="92">
        <f>N550+N551+N552+N553+N554</f>
        <v>331708.36</v>
      </c>
      <c r="O549" s="92">
        <f t="shared" ca="1" si="88"/>
        <v>98.965722383829345</v>
      </c>
      <c r="P549" s="92">
        <f t="shared" ca="1" si="89"/>
        <v>100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826">
        <f>(25460-3500)+3480+202.5</f>
        <v>25642.5</v>
      </c>
      <c r="O550" s="497"/>
      <c r="P550" s="497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826">
        <v>0</v>
      </c>
      <c r="O551" s="497"/>
      <c r="P551" s="497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826">
        <f>12566.67+12566.67+12566.67+12566.67+13000+12133.34+12133.34+13000+13000+13000+13000</f>
        <v>139533.35999999999</v>
      </c>
      <c r="O552" s="497"/>
      <c r="P552" s="497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826">
        <f>4533+3508+17583+432+2240+1820+3380+1220+1920+1220+10760+3300+5667+1651+3800+2720+2256+2600+1480+2360+2580+3981+2480+3260+7350+5980+4609.5+7350+54492</f>
        <v>166532.5</v>
      </c>
      <c r="O553" s="497"/>
      <c r="P553" s="497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826">
        <v>0</v>
      </c>
      <c r="O554" s="497"/>
      <c r="P554" s="497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IFERROR(__xludf.DUMMYFUNCTION("IMPORTRANGE(""https://docs.google.com/spreadsheets/d/1QqKyyYR6Q21VydFLVH3TRQUabQu_ym0Zz7PgGX0-kHA/edit?usp=sharing"",""แผน!HF78"")"),0)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41" t="s">
        <v>38</v>
      </c>
      <c r="E558" s="760"/>
      <c r="F558" s="760"/>
      <c r="G558" s="612"/>
      <c r="H558" s="761"/>
      <c r="I558" s="183"/>
      <c r="J558" s="183"/>
      <c r="K558" s="162"/>
      <c r="L558" s="162"/>
      <c r="M558" s="162"/>
      <c r="N558" s="162"/>
      <c r="O558" s="162"/>
      <c r="P558" s="162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234</v>
      </c>
      <c r="C559" s="693"/>
      <c r="D559" s="693"/>
      <c r="E559" s="672"/>
      <c r="F559" s="672"/>
      <c r="G559" s="673"/>
      <c r="H559" s="694" t="s">
        <v>46</v>
      </c>
      <c r="I559" s="707">
        <f ca="1">I576</f>
        <v>29942.71</v>
      </c>
      <c r="J559" s="707">
        <f>J576</f>
        <v>29942.71</v>
      </c>
      <c r="K559" s="676">
        <f ca="1">IF(I559&gt;0,J559*100/I559,0)</f>
        <v>100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235</v>
      </c>
      <c r="D560" s="617"/>
      <c r="E560" s="625"/>
      <c r="F560" s="625"/>
      <c r="G560" s="761"/>
      <c r="H560" s="766" t="s">
        <v>46</v>
      </c>
      <c r="I560" s="192">
        <f ca="1">IFERROR(__xludf.DUMMYFUNCTION("IMPORTRANGE(""https://docs.google.com/spreadsheets/d/1QqKyyYR6Q21VydFLVH3TRQUabQu_ym0Zz7PgGX0-kHA/edit?usp=sharing"",""แผน!HH78"")"),29942.71)</f>
        <v>29942.71</v>
      </c>
      <c r="J560" s="192">
        <f>J562+J564+J566</f>
        <v>29942</v>
      </c>
      <c r="K560" s="411">
        <f ca="1">IF(I560&gt;0,J560*100/I560,0)</f>
        <v>99.997628805141559</v>
      </c>
      <c r="L560" s="162"/>
      <c r="M560" s="162"/>
      <c r="N560" s="162"/>
      <c r="O560" s="162"/>
      <c r="P560" s="162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2">
        <f ca="1">IFERROR(__xludf.DUMMYFUNCTION("IMPORTRANGE(""https://docs.google.com/spreadsheets/d/1QqKyyYR6Q21VydFLVH3TRQUabQu_ym0Zz7PgGX0-kHA/edit?usp=sharing"",""แผน!HG78"")"),3752)</f>
        <v>3752</v>
      </c>
      <c r="J561" s="192">
        <f>J563+J565+J567</f>
        <v>3752</v>
      </c>
      <c r="K561" s="411">
        <f ca="1">IF(I561&gt;0,J561*100/I561,0)</f>
        <v>100</v>
      </c>
      <c r="L561" s="162"/>
      <c r="M561" s="162"/>
      <c r="N561" s="162"/>
      <c r="O561" s="162"/>
      <c r="P561" s="162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236</v>
      </c>
      <c r="E562" s="625"/>
      <c r="F562" s="625"/>
      <c r="G562" s="761"/>
      <c r="H562" s="763" t="s">
        <v>46</v>
      </c>
      <c r="I562" s="183"/>
      <c r="J562" s="214">
        <v>25831</v>
      </c>
      <c r="K562" s="162"/>
      <c r="L562" s="162"/>
      <c r="M562" s="162"/>
      <c r="N562" s="162"/>
      <c r="O562" s="162"/>
      <c r="P562" s="162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3"/>
      <c r="J563" s="214">
        <v>3325</v>
      </c>
      <c r="K563" s="162"/>
      <c r="L563" s="162"/>
      <c r="M563" s="162"/>
      <c r="N563" s="162"/>
      <c r="O563" s="162"/>
      <c r="P563" s="162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237</v>
      </c>
      <c r="E564" s="625"/>
      <c r="F564" s="625"/>
      <c r="G564" s="761"/>
      <c r="H564" s="763" t="s">
        <v>46</v>
      </c>
      <c r="I564" s="183"/>
      <c r="J564" s="214">
        <v>3753</v>
      </c>
      <c r="K564" s="162"/>
      <c r="L564" s="162"/>
      <c r="M564" s="162"/>
      <c r="N564" s="162"/>
      <c r="O564" s="162"/>
      <c r="P564" s="162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3"/>
      <c r="J565" s="214">
        <v>375</v>
      </c>
      <c r="K565" s="162"/>
      <c r="L565" s="162"/>
      <c r="M565" s="162"/>
      <c r="N565" s="162"/>
      <c r="O565" s="162"/>
      <c r="P565" s="162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238</v>
      </c>
      <c r="E566" s="625"/>
      <c r="F566" s="625"/>
      <c r="G566" s="761"/>
      <c r="H566" s="763" t="s">
        <v>46</v>
      </c>
      <c r="I566" s="183"/>
      <c r="J566" s="214">
        <v>358</v>
      </c>
      <c r="K566" s="162"/>
      <c r="L566" s="162"/>
      <c r="M566" s="162"/>
      <c r="N566" s="162"/>
      <c r="O566" s="162"/>
      <c r="P566" s="162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3"/>
      <c r="J567" s="214">
        <v>52</v>
      </c>
      <c r="K567" s="162"/>
      <c r="L567" s="162"/>
      <c r="M567" s="162"/>
      <c r="N567" s="162"/>
      <c r="O567" s="162"/>
      <c r="P567" s="162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239</v>
      </c>
      <c r="D568" s="625"/>
      <c r="E568" s="625"/>
      <c r="F568" s="625"/>
      <c r="G568" s="761"/>
      <c r="H568" s="766" t="s">
        <v>46</v>
      </c>
      <c r="I568" s="192">
        <f ca="1">IFERROR(__xludf.DUMMYFUNCTION("IMPORTRANGE(""https://docs.google.com/spreadsheets/d/1QqKyyYR6Q21VydFLVH3TRQUabQu_ym0Zz7PgGX0-kHA/edit?usp=sharing"",""แผน!HH78"")"),29942.71)</f>
        <v>29942.71</v>
      </c>
      <c r="J568" s="680">
        <f>J570+J572+J574</f>
        <v>29942</v>
      </c>
      <c r="K568" s="411">
        <f ca="1">IF(I568&gt;0,J568*100/I568,0)</f>
        <v>99.997628805141559</v>
      </c>
      <c r="L568" s="162"/>
      <c r="M568" s="162"/>
      <c r="N568" s="162"/>
      <c r="O568" s="162"/>
      <c r="P568" s="162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2">
        <f ca="1">IFERROR(__xludf.DUMMYFUNCTION("IMPORTRANGE(""https://docs.google.com/spreadsheets/d/1QqKyyYR6Q21VydFLVH3TRQUabQu_ym0Zz7PgGX0-kHA/edit?usp=sharing"",""แผน!HG78"")"),3752)</f>
        <v>3752</v>
      </c>
      <c r="J569" s="680">
        <f>J571+J573+J575</f>
        <v>3752</v>
      </c>
      <c r="K569" s="411">
        <f ca="1">IF(I569&gt;0,J569*100/I569,0)</f>
        <v>100</v>
      </c>
      <c r="L569" s="162"/>
      <c r="M569" s="162"/>
      <c r="N569" s="162"/>
      <c r="O569" s="162"/>
      <c r="P569" s="162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240</v>
      </c>
      <c r="E570" s="617"/>
      <c r="F570" s="625"/>
      <c r="G570" s="761"/>
      <c r="H570" s="763" t="s">
        <v>46</v>
      </c>
      <c r="I570" s="183"/>
      <c r="J570" s="214">
        <v>25782</v>
      </c>
      <c r="K570" s="162"/>
      <c r="L570" s="162"/>
      <c r="M570" s="162"/>
      <c r="N570" s="162"/>
      <c r="O570" s="162"/>
      <c r="P570" s="162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3"/>
      <c r="J571" s="214">
        <v>3314</v>
      </c>
      <c r="K571" s="162"/>
      <c r="L571" s="162"/>
      <c r="M571" s="162"/>
      <c r="N571" s="162"/>
      <c r="O571" s="162"/>
      <c r="P571" s="162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241</v>
      </c>
      <c r="E572" s="625"/>
      <c r="F572" s="625"/>
      <c r="G572" s="761"/>
      <c r="H572" s="763" t="s">
        <v>46</v>
      </c>
      <c r="I572" s="183"/>
      <c r="J572" s="214">
        <v>3802</v>
      </c>
      <c r="K572" s="162"/>
      <c r="L572" s="162"/>
      <c r="M572" s="162"/>
      <c r="N572" s="162"/>
      <c r="O572" s="162"/>
      <c r="P572" s="162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3"/>
      <c r="J573" s="214">
        <v>386</v>
      </c>
      <c r="K573" s="162"/>
      <c r="L573" s="162"/>
      <c r="M573" s="162"/>
      <c r="N573" s="162"/>
      <c r="O573" s="162"/>
      <c r="P573" s="162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242</v>
      </c>
      <c r="E574" s="625"/>
      <c r="F574" s="625"/>
      <c r="G574" s="761"/>
      <c r="H574" s="763" t="s">
        <v>46</v>
      </c>
      <c r="I574" s="183"/>
      <c r="J574" s="214">
        <v>358</v>
      </c>
      <c r="K574" s="162"/>
      <c r="L574" s="162"/>
      <c r="M574" s="162"/>
      <c r="N574" s="162"/>
      <c r="O574" s="162"/>
      <c r="P574" s="162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3"/>
      <c r="J575" s="214">
        <v>52</v>
      </c>
      <c r="K575" s="162"/>
      <c r="L575" s="162"/>
      <c r="M575" s="162"/>
      <c r="N575" s="162"/>
      <c r="O575" s="162"/>
      <c r="P575" s="162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243</v>
      </c>
      <c r="D576" s="617"/>
      <c r="E576" s="617"/>
      <c r="F576" s="625"/>
      <c r="G576" s="761"/>
      <c r="H576" s="766" t="s">
        <v>46</v>
      </c>
      <c r="I576" s="192">
        <f ca="1">IFERROR(__xludf.DUMMYFUNCTION("IMPORTRANGE(""https://docs.google.com/spreadsheets/d/1QqKyyYR6Q21VydFLVH3TRQUabQu_ym0Zz7PgGX0-kHA/edit?usp=sharing"",""แผน!HH78"")"),29942.71)</f>
        <v>29942.71</v>
      </c>
      <c r="J576" s="680">
        <f>J578+J580+J582+J588+J590</f>
        <v>29942.71</v>
      </c>
      <c r="K576" s="411">
        <f ca="1">IF(I576&gt;0,J576*100/I576,0)</f>
        <v>100</v>
      </c>
      <c r="L576" s="162"/>
      <c r="M576" s="162"/>
      <c r="N576" s="162"/>
      <c r="O576" s="162"/>
      <c r="P576" s="162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2">
        <f ca="1">IFERROR(__xludf.DUMMYFUNCTION("IMPORTRANGE(""https://docs.google.com/spreadsheets/d/1QqKyyYR6Q21VydFLVH3TRQUabQu_ym0Zz7PgGX0-kHA/edit?usp=sharing"",""แผน!HG78"")"),3752)</f>
        <v>3752</v>
      </c>
      <c r="J577" s="680">
        <f>J579+J581+J583+J589+J591</f>
        <v>3752</v>
      </c>
      <c r="K577" s="411">
        <f ca="1">IF(I577&gt;0,J577*100/I577,0)</f>
        <v>100</v>
      </c>
      <c r="L577" s="162"/>
      <c r="M577" s="162"/>
      <c r="N577" s="162"/>
      <c r="O577" s="162"/>
      <c r="P577" s="162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244</v>
      </c>
      <c r="E578" s="625"/>
      <c r="F578" s="625"/>
      <c r="G578" s="761"/>
      <c r="H578" s="763" t="s">
        <v>46</v>
      </c>
      <c r="I578" s="183"/>
      <c r="J578" s="214">
        <v>27794.255000000001</v>
      </c>
      <c r="K578" s="162"/>
      <c r="L578" s="162"/>
      <c r="M578" s="162"/>
      <c r="N578" s="162"/>
      <c r="O578" s="162"/>
      <c r="P578" s="162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3"/>
      <c r="J579" s="214">
        <v>3499</v>
      </c>
      <c r="K579" s="162"/>
      <c r="L579" s="162"/>
      <c r="M579" s="162"/>
      <c r="N579" s="162"/>
      <c r="O579" s="162"/>
      <c r="P579" s="162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245</v>
      </c>
      <c r="E580" s="625"/>
      <c r="F580" s="625"/>
      <c r="G580" s="761"/>
      <c r="H580" s="763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246</v>
      </c>
      <c r="E582" s="625"/>
      <c r="F582" s="625"/>
      <c r="G582" s="761"/>
      <c r="H582" s="763" t="s">
        <v>46</v>
      </c>
      <c r="I582" s="183"/>
      <c r="J582" s="680">
        <f>J584+J586</f>
        <v>420.67</v>
      </c>
      <c r="K582" s="411"/>
      <c r="L582" s="162"/>
      <c r="M582" s="162"/>
      <c r="N582" s="162"/>
      <c r="O582" s="162"/>
      <c r="P582" s="162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3"/>
      <c r="J583" s="680">
        <f>J585+J587</f>
        <v>61</v>
      </c>
      <c r="K583" s="411"/>
      <c r="L583" s="162"/>
      <c r="M583" s="162"/>
      <c r="N583" s="162"/>
      <c r="O583" s="162"/>
      <c r="P583" s="162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247</v>
      </c>
      <c r="F584" s="625"/>
      <c r="G584" s="761"/>
      <c r="H584" s="763" t="s">
        <v>46</v>
      </c>
      <c r="I584" s="183"/>
      <c r="J584" s="214">
        <v>420.67</v>
      </c>
      <c r="K584" s="162"/>
      <c r="L584" s="162"/>
      <c r="M584" s="162"/>
      <c r="N584" s="162"/>
      <c r="O584" s="162"/>
      <c r="P584" s="162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3"/>
      <c r="J585" s="214">
        <v>61</v>
      </c>
      <c r="K585" s="162"/>
      <c r="L585" s="162"/>
      <c r="M585" s="162"/>
      <c r="N585" s="162"/>
      <c r="O585" s="162"/>
      <c r="P585" s="162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248</v>
      </c>
      <c r="F586" s="625"/>
      <c r="G586" s="761"/>
      <c r="H586" s="763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249</v>
      </c>
      <c r="E588" s="625"/>
      <c r="F588" s="625"/>
      <c r="G588" s="761"/>
      <c r="H588" s="763" t="s">
        <v>46</v>
      </c>
      <c r="I588" s="183"/>
      <c r="J588" s="214">
        <v>1727.7850000000001</v>
      </c>
      <c r="K588" s="162"/>
      <c r="L588" s="162"/>
      <c r="M588" s="162"/>
      <c r="N588" s="162"/>
      <c r="O588" s="162"/>
      <c r="P588" s="162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3"/>
      <c r="J589" s="214">
        <v>192</v>
      </c>
      <c r="K589" s="162"/>
      <c r="L589" s="162"/>
      <c r="M589" s="162"/>
      <c r="N589" s="162"/>
      <c r="O589" s="162"/>
      <c r="P589" s="162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250</v>
      </c>
      <c r="E590" s="625"/>
      <c r="F590" s="625"/>
      <c r="G590" s="761"/>
      <c r="H590" s="763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251</v>
      </c>
      <c r="C592" s="693"/>
      <c r="D592" s="693"/>
      <c r="E592" s="672"/>
      <c r="F592" s="672"/>
      <c r="G592" s="673"/>
      <c r="H592" s="694" t="s">
        <v>46</v>
      </c>
      <c r="I592" s="702">
        <f ca="1">I593</f>
        <v>179.63</v>
      </c>
      <c r="J592" s="707">
        <f>J593</f>
        <v>179.63</v>
      </c>
      <c r="K592" s="676">
        <f ca="1">IF(I592&gt;0,J592*100/I592,0)</f>
        <v>100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252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IFERROR(__xludf.DUMMYFUNCTION("IMPORTRANGE(""https://docs.google.com/spreadsheets/d/1QqKyyYR6Q21VydFLVH3TRQUabQu_ym0Zz7PgGX0-kHA/edit?usp=sharing"",""แผน!HJ78"")"),179.63)</f>
        <v>179.63</v>
      </c>
      <c r="J593" s="192">
        <f>J595+J603+J609</f>
        <v>179.63</v>
      </c>
      <c r="K593" s="411">
        <f ca="1">IF(I593&gt;0,J593*100/I593,0)</f>
        <v>100</v>
      </c>
      <c r="L593" s="162"/>
      <c r="M593" s="162"/>
      <c r="N593" s="162"/>
      <c r="O593" s="162"/>
      <c r="P593" s="162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2">
        <f ca="1">IFERROR(__xludf.DUMMYFUNCTION("IMPORTRANGE(""https://docs.google.com/spreadsheets/d/1QqKyyYR6Q21VydFLVH3TRQUabQu_ym0Zz7PgGX0-kHA/edit?usp=sharing"",""แผน!HI78"")"),36)</f>
        <v>36</v>
      </c>
      <c r="J594" s="192">
        <f>J596+J604+J610</f>
        <v>36</v>
      </c>
      <c r="K594" s="411">
        <f ca="1">IF(I594&gt;0,J594*100/I594,0)</f>
        <v>100</v>
      </c>
      <c r="L594" s="162"/>
      <c r="M594" s="162"/>
      <c r="N594" s="162"/>
      <c r="O594" s="162"/>
      <c r="P594" s="162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253</v>
      </c>
      <c r="D595" s="617"/>
      <c r="E595" s="617"/>
      <c r="F595" s="625"/>
      <c r="G595" s="761"/>
      <c r="H595" s="763" t="s">
        <v>46</v>
      </c>
      <c r="I595" s="183"/>
      <c r="J595" s="183">
        <f>J597+J599</f>
        <v>113.74000000000001</v>
      </c>
      <c r="K595" s="162"/>
      <c r="L595" s="162"/>
      <c r="M595" s="162"/>
      <c r="N595" s="162"/>
      <c r="O595" s="162"/>
      <c r="P595" s="162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3"/>
      <c r="J596" s="183">
        <f>J598+J600</f>
        <v>27</v>
      </c>
      <c r="K596" s="162"/>
      <c r="L596" s="162"/>
      <c r="M596" s="162"/>
      <c r="N596" s="162"/>
      <c r="O596" s="162"/>
      <c r="P596" s="162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254</v>
      </c>
      <c r="E597" s="625"/>
      <c r="F597" s="625"/>
      <c r="G597" s="761"/>
      <c r="H597" s="763" t="s">
        <v>46</v>
      </c>
      <c r="I597" s="183"/>
      <c r="J597" s="214">
        <v>112.4</v>
      </c>
      <c r="K597" s="162"/>
      <c r="L597" s="162"/>
      <c r="M597" s="162"/>
      <c r="N597" s="162"/>
      <c r="O597" s="162"/>
      <c r="P597" s="162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69"/>
      <c r="J598" s="214">
        <v>26</v>
      </c>
      <c r="K598" s="162"/>
      <c r="L598" s="162"/>
      <c r="M598" s="162"/>
      <c r="N598" s="162"/>
      <c r="O598" s="162"/>
      <c r="P598" s="162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255</v>
      </c>
      <c r="E599" s="625"/>
      <c r="F599" s="625"/>
      <c r="G599" s="761"/>
      <c r="H599" s="763" t="s">
        <v>46</v>
      </c>
      <c r="I599" s="269"/>
      <c r="J599" s="214">
        <v>1.34</v>
      </c>
      <c r="K599" s="162"/>
      <c r="L599" s="162"/>
      <c r="M599" s="162"/>
      <c r="N599" s="162"/>
      <c r="O599" s="162"/>
      <c r="P599" s="162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69"/>
      <c r="J600" s="214">
        <v>1</v>
      </c>
      <c r="K600" s="162"/>
      <c r="L600" s="162"/>
      <c r="M600" s="162"/>
      <c r="N600" s="162"/>
      <c r="O600" s="162"/>
      <c r="P600" s="162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256</v>
      </c>
      <c r="E601" s="625"/>
      <c r="F601" s="625"/>
      <c r="G601" s="761"/>
      <c r="H601" s="763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257</v>
      </c>
      <c r="D603" s="617"/>
      <c r="E603" s="617"/>
      <c r="F603" s="625"/>
      <c r="G603" s="761"/>
      <c r="H603" s="763" t="s">
        <v>46</v>
      </c>
      <c r="I603" s="269"/>
      <c r="J603" s="269">
        <f>J605+J607</f>
        <v>47.53</v>
      </c>
      <c r="K603" s="162"/>
      <c r="L603" s="162"/>
      <c r="M603" s="162"/>
      <c r="N603" s="162"/>
      <c r="O603" s="162"/>
      <c r="P603" s="162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69"/>
      <c r="J604" s="269">
        <f>J606+J608</f>
        <v>5</v>
      </c>
      <c r="K604" s="162"/>
      <c r="L604" s="162"/>
      <c r="M604" s="162"/>
      <c r="N604" s="162"/>
      <c r="O604" s="162"/>
      <c r="P604" s="162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258</v>
      </c>
      <c r="E605" s="625"/>
      <c r="F605" s="625"/>
      <c r="G605" s="761"/>
      <c r="H605" s="763" t="s">
        <v>46</v>
      </c>
      <c r="I605" s="269"/>
      <c r="J605" s="214">
        <v>47.53</v>
      </c>
      <c r="K605" s="162"/>
      <c r="L605" s="162"/>
      <c r="M605" s="162"/>
      <c r="N605" s="162"/>
      <c r="O605" s="162"/>
      <c r="P605" s="162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69"/>
      <c r="J606" s="214">
        <v>5</v>
      </c>
      <c r="K606" s="162"/>
      <c r="L606" s="162"/>
      <c r="M606" s="162"/>
      <c r="N606" s="162"/>
      <c r="O606" s="162"/>
      <c r="P606" s="162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259</v>
      </c>
      <c r="E607" s="617"/>
      <c r="F607" s="625"/>
      <c r="G607" s="761"/>
      <c r="H607" s="763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260</v>
      </c>
      <c r="D609" s="617"/>
      <c r="E609" s="617"/>
      <c r="F609" s="625"/>
      <c r="G609" s="761"/>
      <c r="H609" s="763" t="s">
        <v>46</v>
      </c>
      <c r="I609" s="269"/>
      <c r="J609" s="214">
        <v>18.36</v>
      </c>
      <c r="K609" s="162"/>
      <c r="L609" s="162"/>
      <c r="M609" s="162"/>
      <c r="N609" s="162"/>
      <c r="O609" s="162"/>
      <c r="P609" s="162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69"/>
      <c r="J610" s="214">
        <v>4</v>
      </c>
      <c r="K610" s="162"/>
      <c r="L610" s="162"/>
      <c r="M610" s="162"/>
      <c r="N610" s="162"/>
      <c r="O610" s="162"/>
      <c r="P610" s="162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1"/>
      <c r="B611" s="705" t="s">
        <v>261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262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>J614+J616</f>
        <v>0</v>
      </c>
      <c r="K612" s="716">
        <f>IF(I612&gt;0,J612*100/I612,0)</f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263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>J615+J617</f>
        <v>0</v>
      </c>
      <c r="K613" s="716">
        <f>IF(I613&gt;0,J613*100/I613,0)</f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264</v>
      </c>
      <c r="E614" s="615"/>
      <c r="F614" s="719"/>
      <c r="G614" s="365"/>
      <c r="H614" s="369" t="s">
        <v>46</v>
      </c>
      <c r="I614" s="616"/>
      <c r="J614" s="616">
        <v>0</v>
      </c>
      <c r="K614" s="166"/>
      <c r="L614" s="166"/>
      <c r="M614" s="166"/>
      <c r="N614" s="166"/>
      <c r="O614" s="166"/>
      <c r="P614" s="166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5"/>
      <c r="H615" s="369" t="s">
        <v>34</v>
      </c>
      <c r="I615" s="616"/>
      <c r="J615" s="616">
        <v>0</v>
      </c>
      <c r="K615" s="166"/>
      <c r="L615" s="166"/>
      <c r="M615" s="166"/>
      <c r="N615" s="166"/>
      <c r="O615" s="166"/>
      <c r="P615" s="166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264</v>
      </c>
      <c r="E616" s="719"/>
      <c r="F616" s="719"/>
      <c r="G616" s="365"/>
      <c r="H616" s="369" t="s">
        <v>46</v>
      </c>
      <c r="I616" s="616"/>
      <c r="J616" s="616">
        <v>0</v>
      </c>
      <c r="K616" s="166"/>
      <c r="L616" s="166"/>
      <c r="M616" s="166"/>
      <c r="N616" s="166"/>
      <c r="O616" s="166"/>
      <c r="P616" s="166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5"/>
      <c r="H617" s="369" t="s">
        <v>34</v>
      </c>
      <c r="I617" s="616"/>
      <c r="J617" s="616">
        <v>0</v>
      </c>
      <c r="K617" s="166"/>
      <c r="L617" s="166"/>
      <c r="M617" s="166"/>
      <c r="N617" s="166"/>
      <c r="O617" s="166"/>
      <c r="P617" s="166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265</v>
      </c>
      <c r="E618" s="719"/>
      <c r="F618" s="719"/>
      <c r="G618" s="365"/>
      <c r="H618" s="369" t="s">
        <v>46</v>
      </c>
      <c r="I618" s="616"/>
      <c r="J618" s="616">
        <v>0</v>
      </c>
      <c r="K618" s="166"/>
      <c r="L618" s="166"/>
      <c r="M618" s="166"/>
      <c r="N618" s="166"/>
      <c r="O618" s="166"/>
      <c r="P618" s="166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5"/>
      <c r="H619" s="369" t="s">
        <v>34</v>
      </c>
      <c r="I619" s="616"/>
      <c r="J619" s="616">
        <v>0</v>
      </c>
      <c r="K619" s="166"/>
      <c r="L619" s="166"/>
      <c r="M619" s="166"/>
      <c r="N619" s="166"/>
      <c r="O619" s="166"/>
      <c r="P619" s="166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1"/>
      <c r="B620" s="730"/>
      <c r="C620" s="723" t="s">
        <v>266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IFERROR(__xludf.DUMMYFUNCTION("IMPORTRANGE(""https://docs.google.com/spreadsheets/d/1QqKyyYR6Q21VydFLVH3TRQUabQu_ym0Zz7PgGX0-kHA/edit?usp=sharing"",""แผน!HL78"")"),8)</f>
        <v>8</v>
      </c>
      <c r="J620" s="727">
        <f>J622+J624+J626</f>
        <v>8</v>
      </c>
      <c r="K620" s="728">
        <f ca="1">IF(I620&gt;0,J620*100/I620,0)</f>
        <v>100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1"/>
      <c r="B621" s="730"/>
      <c r="C621" s="730" t="s">
        <v>267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IFERROR(__xludf.DUMMYFUNCTION("IMPORTRANGE(""https://docs.google.com/spreadsheets/d/1QqKyyYR6Q21VydFLVH3TRQUabQu_ym0Zz7PgGX0-kHA/edit?usp=sharing"",""แผน!HK78"")"),2)</f>
        <v>2</v>
      </c>
      <c r="J621" s="727">
        <f>J623+J625+J627</f>
        <v>2</v>
      </c>
      <c r="K621" s="728">
        <f ca="1">IF(I621&gt;0,J621*100/I621,0)</f>
        <v>100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5" t="s">
        <v>268</v>
      </c>
      <c r="E622" s="625"/>
      <c r="F622" s="625"/>
      <c r="G622" s="761"/>
      <c r="H622" s="763" t="s">
        <v>46</v>
      </c>
      <c r="I622" s="269"/>
      <c r="J622" s="214">
        <v>8</v>
      </c>
      <c r="K622" s="162"/>
      <c r="L622" s="162"/>
      <c r="M622" s="162"/>
      <c r="N622" s="162"/>
      <c r="O622" s="162"/>
      <c r="P622" s="162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69"/>
      <c r="J623" s="214">
        <v>2</v>
      </c>
      <c r="K623" s="162"/>
      <c r="L623" s="162"/>
      <c r="M623" s="162"/>
      <c r="N623" s="162"/>
      <c r="O623" s="162"/>
      <c r="P623" s="162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5" t="s">
        <v>264</v>
      </c>
      <c r="E624" s="625"/>
      <c r="F624" s="625"/>
      <c r="G624" s="761"/>
      <c r="H624" s="763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5" t="s">
        <v>269</v>
      </c>
      <c r="E626" s="625"/>
      <c r="F626" s="625"/>
      <c r="G626" s="761"/>
      <c r="H626" s="763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1"/>
      <c r="B627" s="732"/>
      <c r="C627" s="732"/>
      <c r="D627" s="732"/>
      <c r="E627" s="733"/>
      <c r="F627" s="733"/>
      <c r="G627" s="734"/>
      <c r="H627" s="422" t="s">
        <v>34</v>
      </c>
      <c r="I627" s="505"/>
      <c r="J627" s="424">
        <v>0</v>
      </c>
      <c r="K627" s="384"/>
      <c r="L627" s="384"/>
      <c r="M627" s="384"/>
      <c r="N627" s="384"/>
      <c r="O627" s="384"/>
      <c r="P627" s="384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270</v>
      </c>
      <c r="C628" s="737"/>
      <c r="D628" s="737"/>
      <c r="E628" s="737"/>
      <c r="F628" s="737"/>
      <c r="G628" s="738"/>
      <c r="H628" s="739" t="s">
        <v>35</v>
      </c>
      <c r="I628" s="740">
        <f ca="1">I651</f>
        <v>40</v>
      </c>
      <c r="J628" s="740">
        <f ca="1">J651</f>
        <v>36</v>
      </c>
      <c r="K628" s="741">
        <f ca="1">IF(I628&gt;0,J628*100/I628,0)</f>
        <v>90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887" t="s">
        <v>17</v>
      </c>
      <c r="E629" s="888"/>
      <c r="F629" s="888"/>
      <c r="G629" s="188"/>
      <c r="H629" s="597" t="s">
        <v>12</v>
      </c>
      <c r="I629" s="269"/>
      <c r="J629" s="269"/>
      <c r="K629" s="497"/>
      <c r="L629" s="194">
        <f ca="1">L630+L631</f>
        <v>221445</v>
      </c>
      <c r="M629" s="194">
        <f ca="1">M630+M631</f>
        <v>221445</v>
      </c>
      <c r="N629" s="194">
        <f>N630+N631</f>
        <v>221445</v>
      </c>
      <c r="O629" s="194">
        <f t="shared" ref="O629:O634" ca="1" si="90">IF(L629&gt;0,N629*100/L629,0)</f>
        <v>100</v>
      </c>
      <c r="P629" s="194">
        <f t="shared" ref="P629:P634" ca="1" si="91">IF(M629&gt;0,N629*100/M629,0)</f>
        <v>100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184</v>
      </c>
      <c r="F630" s="758"/>
      <c r="G630" s="602"/>
      <c r="H630" s="164" t="s">
        <v>12</v>
      </c>
      <c r="I630" s="616"/>
      <c r="J630" s="616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185</v>
      </c>
      <c r="F631" s="758"/>
      <c r="G631" s="602"/>
      <c r="H631" s="164" t="s">
        <v>12</v>
      </c>
      <c r="I631" s="616"/>
      <c r="J631" s="616"/>
      <c r="K631" s="92"/>
      <c r="L631" s="92">
        <f t="shared" ca="1" si="92"/>
        <v>221445</v>
      </c>
      <c r="M631" s="92">
        <f t="shared" ca="1" si="92"/>
        <v>221445</v>
      </c>
      <c r="N631" s="92">
        <f t="shared" si="92"/>
        <v>221445</v>
      </c>
      <c r="O631" s="92">
        <f t="shared" ca="1" si="90"/>
        <v>100</v>
      </c>
      <c r="P631" s="92">
        <f t="shared" ca="1" si="91"/>
        <v>100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8"/>
      <c r="H632" s="160" t="s">
        <v>12</v>
      </c>
      <c r="I632" s="183"/>
      <c r="J632" s="183"/>
      <c r="K632" s="162"/>
      <c r="L632" s="497">
        <f ca="1">L633+L634</f>
        <v>221445</v>
      </c>
      <c r="M632" s="497">
        <f ca="1">M633+M634</f>
        <v>221445</v>
      </c>
      <c r="N632" s="497">
        <f>N633+N634</f>
        <v>221445</v>
      </c>
      <c r="O632" s="497">
        <f t="shared" ca="1" si="90"/>
        <v>100</v>
      </c>
      <c r="P632" s="497">
        <f t="shared" ca="1" si="91"/>
        <v>100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184</v>
      </c>
      <c r="F633" s="758"/>
      <c r="G633" s="602"/>
      <c r="H633" s="164" t="s">
        <v>12</v>
      </c>
      <c r="I633" s="616"/>
      <c r="J633" s="616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185</v>
      </c>
      <c r="F634" s="758"/>
      <c r="G634" s="602"/>
      <c r="H634" s="164" t="s">
        <v>12</v>
      </c>
      <c r="I634" s="616"/>
      <c r="J634" s="616"/>
      <c r="K634" s="92"/>
      <c r="L634" s="92">
        <f ca="1">IFERROR(__xludf.DUMMYFUNCTION("IMPORTRANGE(""https://docs.google.com/spreadsheets/d/1QqKyyYR6Q21VydFLVH3TRQUabQu_ym0Zz7PgGX0-kHA/edit?usp=sharing"",""แผน!HN78"")"),221445)</f>
        <v>221445</v>
      </c>
      <c r="M634" s="92">
        <f ca="1">L634</f>
        <v>221445</v>
      </c>
      <c r="N634" s="92">
        <f>N635+N636+N637+N638</f>
        <v>221445</v>
      </c>
      <c r="O634" s="92">
        <f t="shared" ca="1" si="90"/>
        <v>100</v>
      </c>
      <c r="P634" s="92">
        <f t="shared" ca="1" si="91"/>
        <v>100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826">
        <f>7250-400+40200-2000+1180+420+40200+1353.6</f>
        <v>88203.6</v>
      </c>
      <c r="O635" s="497"/>
      <c r="P635" s="497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826">
        <v>0</v>
      </c>
      <c r="O636" s="497"/>
      <c r="P636" s="497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826">
        <f>3780+6300+10000</f>
        <v>20080</v>
      </c>
      <c r="O637" s="497"/>
      <c r="P637" s="497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826">
        <f>2350+2260+1600+5800+3380+9059.69+5680+3960+1000+5240+3080+30601+3240+29336+6574.71</f>
        <v>113161.40000000001</v>
      </c>
      <c r="O638" s="497"/>
      <c r="P638" s="497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IFERROR(__xludf.DUMMYFUNCTION("IMPORTRANGE(""https://docs.google.com/spreadsheets/d/1QqKyyYR6Q21VydFLVH3TRQUabQu_ym0Zz7PgGX0-kHA/edit?usp=sharing"",""แผน!HQ78"")"),0)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41" t="s">
        <v>38</v>
      </c>
      <c r="E642" s="760"/>
      <c r="F642" s="760"/>
      <c r="G642" s="612"/>
      <c r="H642" s="761"/>
      <c r="I642" s="183"/>
      <c r="J642" s="183"/>
      <c r="K642" s="162"/>
      <c r="L642" s="162"/>
      <c r="M642" s="162"/>
      <c r="N642" s="162"/>
      <c r="O642" s="162"/>
      <c r="P642" s="162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271</v>
      </c>
      <c r="F643" s="625"/>
      <c r="G643" s="761"/>
      <c r="H643" s="763" t="s">
        <v>272</v>
      </c>
      <c r="I643" s="269">
        <f ca="1">IFERROR(__xludf.DUMMYFUNCTION("IMPORTRANGE(""https://docs.google.com/spreadsheets/d/1QqKyyYR6Q21VydFLVH3TRQUabQu_ym0Zz7PgGX0-kHA/edit?usp=sharing"",""แผน!HR78"")"),1)</f>
        <v>1</v>
      </c>
      <c r="J643" s="214">
        <v>1</v>
      </c>
      <c r="K643" s="162">
        <f t="shared" ref="K643:K652" ca="1" si="93">IF(I643&gt;0,J643*100/I643,0)</f>
        <v>100</v>
      </c>
      <c r="L643" s="162"/>
      <c r="M643" s="162"/>
      <c r="N643" s="497"/>
      <c r="O643" s="162"/>
      <c r="P643" s="162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273</v>
      </c>
      <c r="F644" s="625"/>
      <c r="G644" s="761"/>
      <c r="H644" s="763" t="s">
        <v>274</v>
      </c>
      <c r="I644" s="269">
        <f ca="1">IFERROR(__xludf.DUMMYFUNCTION("IMPORTRANGE(""https://docs.google.com/spreadsheets/d/1QqKyyYR6Q21VydFLVH3TRQUabQu_ym0Zz7PgGX0-kHA/edit?usp=sharing"",""แผน!HR78"")"),1)</f>
        <v>1</v>
      </c>
      <c r="J644" s="214">
        <v>1</v>
      </c>
      <c r="K644" s="162">
        <f t="shared" ca="1" si="93"/>
        <v>100</v>
      </c>
      <c r="L644" s="162"/>
      <c r="M644" s="162"/>
      <c r="N644" s="497"/>
      <c r="O644" s="162"/>
      <c r="P644" s="162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275</v>
      </c>
      <c r="F645" s="625"/>
      <c r="G645" s="761"/>
      <c r="H645" s="763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IFERROR(__xludf.DUMMYFUNCTION("IMPORTRANGE(""https://docs.google.com/spreadsheets/d/1XWAQStnk-4SwqDmLtmXYiTMKHgktTP8We1SCoS47DrQ/edit?usp=sharing"",""จัดที่ดิน!AS78"")"),35)</f>
        <v>35</v>
      </c>
      <c r="K645" s="162">
        <f t="shared" si="93"/>
        <v>0</v>
      </c>
      <c r="L645" s="162"/>
      <c r="M645" s="162"/>
      <c r="N645" s="497"/>
      <c r="O645" s="162"/>
      <c r="P645" s="162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IFERROR(__xludf.DUMMYFUNCTION("IMPORTRANGE(""https://docs.google.com/spreadsheets/d/1XWAQStnk-4SwqDmLtmXYiTMKHgktTP8We1SCoS47DrQ/edit?usp=sharing"",""จัดที่ดิน!AT78"")"),14.03)</f>
        <v>14.03</v>
      </c>
      <c r="K646" s="497">
        <f t="shared" si="93"/>
        <v>0</v>
      </c>
      <c r="L646" s="162"/>
      <c r="M646" s="162"/>
      <c r="N646" s="497"/>
      <c r="O646" s="162"/>
      <c r="P646" s="162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69">
        <f ca="1">IFERROR(__xludf.DUMMYFUNCTION("IMPORTRANGE(""https://docs.google.com/spreadsheets/d/1QqKyyYR6Q21VydFLVH3TRQUabQu_ym0Zz7PgGX0-kHA/edit?usp=sharing"",""แผน!HS78"")"),40)</f>
        <v>40</v>
      </c>
      <c r="J647" s="269">
        <f ca="1">IFERROR(__xludf.DUMMYFUNCTION("IMPORTRANGE(""https://docs.google.com/spreadsheets/d/1XWAQStnk-4SwqDmLtmXYiTMKHgktTP8We1SCoS47DrQ/edit?usp=sharing"",""จัดที่ดิน!AU78"")"),36)</f>
        <v>36</v>
      </c>
      <c r="K647" s="162">
        <f t="shared" ca="1" si="93"/>
        <v>90</v>
      </c>
      <c r="L647" s="162"/>
      <c r="M647" s="162"/>
      <c r="N647" s="162"/>
      <c r="O647" s="162"/>
      <c r="P647" s="162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IFERROR(__xludf.DUMMYFUNCTION("IMPORTRANGE(""https://docs.google.com/spreadsheets/d/1XWAQStnk-4SwqDmLtmXYiTMKHgktTP8We1SCoS47DrQ/edit?usp=sharing"",""จัดที่ดิน!AV78"")"),11.76)</f>
        <v>11.76</v>
      </c>
      <c r="K648" s="497">
        <f t="shared" si="93"/>
        <v>0</v>
      </c>
      <c r="L648" s="162"/>
      <c r="M648" s="162"/>
      <c r="N648" s="162"/>
      <c r="O648" s="162"/>
      <c r="P648" s="162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276</v>
      </c>
      <c r="F649" s="625"/>
      <c r="G649" s="761"/>
      <c r="H649" s="763" t="s">
        <v>35</v>
      </c>
      <c r="I649" s="269">
        <f ca="1">IFERROR(__xludf.DUMMYFUNCTION("IMPORTRANGE(""https://docs.google.com/spreadsheets/d/1QqKyyYR6Q21VydFLVH3TRQUabQu_ym0Zz7PgGX0-kHA/edit?usp=sharing"",""แผน!HS78"")"),40)</f>
        <v>40</v>
      </c>
      <c r="J649" s="269">
        <f ca="1">IFERROR(__xludf.DUMMYFUNCTION("IMPORTRANGE(""https://docs.google.com/spreadsheets/d/1XWAQStnk-4SwqDmLtmXYiTMKHgktTP8We1SCoS47DrQ/edit?usp=sharing"",""จัดที่ดิน!AW78"")"),36)</f>
        <v>36</v>
      </c>
      <c r="K649" s="162">
        <f t="shared" ca="1" si="93"/>
        <v>90</v>
      </c>
      <c r="L649" s="162"/>
      <c r="M649" s="162"/>
      <c r="N649" s="162"/>
      <c r="O649" s="162"/>
      <c r="P649" s="162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IFERROR(__xludf.DUMMYFUNCTION("IMPORTRANGE(""https://docs.google.com/spreadsheets/d/1XWAQStnk-4SwqDmLtmXYiTMKHgktTP8We1SCoS47DrQ/edit?usp=sharing"",""จัดที่ดิน!AX78"")"),11.76)</f>
        <v>11.76</v>
      </c>
      <c r="K650" s="497">
        <f t="shared" si="93"/>
        <v>0</v>
      </c>
      <c r="L650" s="162"/>
      <c r="M650" s="162"/>
      <c r="N650" s="162"/>
      <c r="O650" s="162"/>
      <c r="P650" s="162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277</v>
      </c>
      <c r="F651" s="625"/>
      <c r="G651" s="761"/>
      <c r="H651" s="763" t="s">
        <v>35</v>
      </c>
      <c r="I651" s="269">
        <f ca="1">IFERROR(__xludf.DUMMYFUNCTION("IMPORTRANGE(""https://docs.google.com/spreadsheets/d/1QqKyyYR6Q21VydFLVH3TRQUabQu_ym0Zz7PgGX0-kHA/edit?usp=sharing"",""แผน!HS78"")"),40)</f>
        <v>40</v>
      </c>
      <c r="J651" s="269">
        <f ca="1">IFERROR(__xludf.DUMMYFUNCTION("IMPORTRANGE(""https://docs.google.com/spreadsheets/d/1XWAQStnk-4SwqDmLtmXYiTMKHgktTP8We1SCoS47DrQ/edit?usp=sharing"",""จัดที่ดิน!AY78"")"),36)</f>
        <v>36</v>
      </c>
      <c r="K651" s="162">
        <f t="shared" ca="1" si="93"/>
        <v>90</v>
      </c>
      <c r="L651" s="162"/>
      <c r="M651" s="162"/>
      <c r="N651" s="162"/>
      <c r="O651" s="162"/>
      <c r="P651" s="162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IFERROR(__xludf.DUMMYFUNCTION("IMPORTRANGE(""https://docs.google.com/spreadsheets/d/1XWAQStnk-4SwqDmLtmXYiTMKHgktTP8We1SCoS47DrQ/edit?usp=sharing"",""จัดที่ดิน!AZ78"")"),11.7625)</f>
        <v>11.762499999999999</v>
      </c>
      <c r="K652" s="506">
        <f t="shared" si="93"/>
        <v>0</v>
      </c>
      <c r="L652" s="384"/>
      <c r="M652" s="384"/>
      <c r="N652" s="384"/>
      <c r="O652" s="384"/>
      <c r="P652" s="384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278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279</v>
      </c>
      <c r="C654" s="672"/>
      <c r="D654" s="672"/>
      <c r="E654" s="672"/>
      <c r="F654" s="672"/>
      <c r="G654" s="673"/>
      <c r="H654" s="706" t="s">
        <v>46</v>
      </c>
      <c r="I654" s="707">
        <f ca="1">I669</f>
        <v>0</v>
      </c>
      <c r="J654" s="707">
        <f>J669</f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87" t="s">
        <v>17</v>
      </c>
      <c r="E655" s="888"/>
      <c r="F655" s="888"/>
      <c r="G655" s="188"/>
      <c r="H655" s="597" t="s">
        <v>12</v>
      </c>
      <c r="I655" s="269"/>
      <c r="J655" s="269"/>
      <c r="K655" s="497"/>
      <c r="L655" s="194">
        <f ca="1">L656+L657</f>
        <v>0</v>
      </c>
      <c r="M655" s="194">
        <f>M656+M657</f>
        <v>0</v>
      </c>
      <c r="N655" s="194">
        <f>N656+N657</f>
        <v>0</v>
      </c>
      <c r="O655" s="194">
        <f t="shared" ref="O655:O660" ca="1" si="94">IF(L655&gt;0,N655*100/L655,0)</f>
        <v>0</v>
      </c>
      <c r="P655" s="194">
        <f t="shared" ref="P655:P660" si="9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184</v>
      </c>
      <c r="F656" s="758"/>
      <c r="G656" s="602"/>
      <c r="H656" s="164" t="s">
        <v>12</v>
      </c>
      <c r="I656" s="616"/>
      <c r="J656" s="616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185</v>
      </c>
      <c r="F657" s="758"/>
      <c r="G657" s="602"/>
      <c r="H657" s="164" t="s">
        <v>12</v>
      </c>
      <c r="I657" s="616"/>
      <c r="J657" s="616"/>
      <c r="K657" s="92"/>
      <c r="L657" s="92">
        <f t="shared" ca="1" si="96"/>
        <v>0</v>
      </c>
      <c r="M657" s="92">
        <f t="shared" si="96"/>
        <v>0</v>
      </c>
      <c r="N657" s="92">
        <f t="shared" si="96"/>
        <v>0</v>
      </c>
      <c r="O657" s="92">
        <f t="shared" ca="1" si="94"/>
        <v>0</v>
      </c>
      <c r="P657" s="92">
        <f t="shared" si="9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8"/>
      <c r="H658" s="160" t="s">
        <v>12</v>
      </c>
      <c r="I658" s="183"/>
      <c r="J658" s="183"/>
      <c r="K658" s="162"/>
      <c r="L658" s="497">
        <f ca="1">L659+L660</f>
        <v>0</v>
      </c>
      <c r="M658" s="497">
        <f>M659+M660</f>
        <v>0</v>
      </c>
      <c r="N658" s="497">
        <f>N659+N660</f>
        <v>0</v>
      </c>
      <c r="O658" s="497">
        <f t="shared" ca="1" si="94"/>
        <v>0</v>
      </c>
      <c r="P658" s="497">
        <f t="shared" si="9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184</v>
      </c>
      <c r="F659" s="758"/>
      <c r="G659" s="602"/>
      <c r="H659" s="164" t="s">
        <v>12</v>
      </c>
      <c r="I659" s="616"/>
      <c r="J659" s="616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185</v>
      </c>
      <c r="F660" s="758"/>
      <c r="G660" s="602"/>
      <c r="H660" s="164" t="s">
        <v>12</v>
      </c>
      <c r="I660" s="616"/>
      <c r="J660" s="616"/>
      <c r="K660" s="92"/>
      <c r="L660" s="92">
        <f ca="1">IFERROR(__xludf.DUMMYFUNCTION("IMPORTRANGE(""https://docs.google.com/spreadsheets/d/1QqKyyYR6Q21VydFLVH3TRQUabQu_ym0Zz7PgGX0-kHA/edit?usp=sharing"",""แผน!HV78"")"),0)</f>
        <v>0</v>
      </c>
      <c r="M660" s="92">
        <v>0</v>
      </c>
      <c r="N660" s="92">
        <f>N661+N662+N663+N664</f>
        <v>0</v>
      </c>
      <c r="O660" s="92">
        <f t="shared" ca="1" si="94"/>
        <v>0</v>
      </c>
      <c r="P660" s="92">
        <f t="shared" si="9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826">
        <v>0</v>
      </c>
      <c r="O661" s="497"/>
      <c r="P661" s="497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826">
        <v>0</v>
      </c>
      <c r="O662" s="497"/>
      <c r="P662" s="497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826">
        <v>0</v>
      </c>
      <c r="O663" s="497"/>
      <c r="P663" s="497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826">
        <v>0</v>
      </c>
      <c r="O664" s="497"/>
      <c r="P664" s="497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40" t="s">
        <v>38</v>
      </c>
      <c r="E668" s="760"/>
      <c r="F668" s="760"/>
      <c r="G668" s="612"/>
      <c r="H668" s="761"/>
      <c r="I668" s="183"/>
      <c r="J668" s="183"/>
      <c r="K668" s="162"/>
      <c r="L668" s="162"/>
      <c r="M668" s="162"/>
      <c r="N668" s="162"/>
      <c r="O668" s="162"/>
      <c r="P668" s="162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280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IFERROR(__xludf.DUMMYFUNCTION("IMPORTRANGE(""https://docs.google.com/spreadsheets/d/1QqKyyYR6Q21VydFLVH3TRQUabQu_ym0Zz7PgGX0-kHA/edit?usp=sharing"",""แผน!IA78"")"),0)</f>
        <v>0</v>
      </c>
      <c r="J669" s="680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281</v>
      </c>
      <c r="F670" s="625"/>
      <c r="G670" s="761"/>
      <c r="H670" s="763" t="s">
        <v>66</v>
      </c>
      <c r="I670" s="269">
        <f ca="1">IFERROR(__xludf.DUMMYFUNCTION("IMPORTRANGE(""https://docs.google.com/spreadsheets/d/1QqKyyYR6Q21VydFLVH3TRQUabQu_ym0Zz7PgGX0-kHA/edit?usp=sharing"",""แผน!HZ78"")"),0)</f>
        <v>0</v>
      </c>
      <c r="J670" s="214">
        <v>0</v>
      </c>
      <c r="K670" s="497">
        <f ca="1">IF(I670&gt;0,(J670*100)/I670,0)</f>
        <v>0</v>
      </c>
      <c r="L670" s="162"/>
      <c r="M670" s="162"/>
      <c r="N670" s="162"/>
      <c r="O670" s="162"/>
      <c r="P670" s="162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282</v>
      </c>
      <c r="F671" s="625"/>
      <c r="G671" s="761"/>
      <c r="H671" s="763" t="s">
        <v>66</v>
      </c>
      <c r="I671" s="269">
        <f ca="1">IFERROR(__xludf.DUMMYFUNCTION("IMPORTRANGE(""https://docs.google.com/spreadsheets/d/1QqKyyYR6Q21VydFLVH3TRQUabQu_ym0Zz7PgGX0-kHA/edit?usp=sharing"",""แผน!HZ78"")"),0)</f>
        <v>0</v>
      </c>
      <c r="J671" s="214">
        <v>0</v>
      </c>
      <c r="K671" s="497">
        <f ca="1">IF(I$671&gt;0,J671*100/I$671,0)</f>
        <v>0</v>
      </c>
      <c r="L671" s="162"/>
      <c r="M671" s="162"/>
      <c r="N671" s="162"/>
      <c r="O671" s="162"/>
      <c r="P671" s="162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283</v>
      </c>
      <c r="F672" s="625"/>
      <c r="G672" s="761"/>
      <c r="H672" s="763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284</v>
      </c>
      <c r="F673" s="625"/>
      <c r="G673" s="761"/>
      <c r="H673" s="763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285</v>
      </c>
      <c r="F674" s="625"/>
      <c r="G674" s="761"/>
      <c r="H674" s="763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286</v>
      </c>
      <c r="F675" s="625"/>
      <c r="G675" s="761"/>
      <c r="H675" s="763" t="s">
        <v>46</v>
      </c>
      <c r="I675" s="269"/>
      <c r="J675" s="680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287</v>
      </c>
      <c r="G676" s="761"/>
      <c r="H676" s="763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288</v>
      </c>
      <c r="G677" s="761"/>
      <c r="H677" s="763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289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IFERROR(__xludf.DUMMYFUNCTION("IMPORTRANGE(""https://docs.google.com/spreadsheets/d/1QqKyyYR6Q21VydFLVH3TRQUabQu_ym0Zz7PgGX0-kHA/edit?usp=sharing"",""แผน!IB78"")"),0)</f>
        <v>0</v>
      </c>
      <c r="J678" s="680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290</v>
      </c>
      <c r="F679" s="625"/>
      <c r="G679" s="761"/>
      <c r="H679" s="763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287</v>
      </c>
      <c r="G680" s="761"/>
      <c r="H680" s="763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288</v>
      </c>
      <c r="G681" s="761"/>
      <c r="H681" s="763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291</v>
      </c>
      <c r="F682" s="625"/>
      <c r="G682" s="761"/>
      <c r="H682" s="763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292</v>
      </c>
      <c r="G683" s="761"/>
      <c r="H683" s="763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293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87" t="s">
        <v>17</v>
      </c>
      <c r="E685" s="888"/>
      <c r="F685" s="888"/>
      <c r="G685" s="188"/>
      <c r="H685" s="597" t="s">
        <v>12</v>
      </c>
      <c r="I685" s="269"/>
      <c r="J685" s="269"/>
      <c r="K685" s="497"/>
      <c r="L685" s="194">
        <f ca="1">L686+L687</f>
        <v>0</v>
      </c>
      <c r="M685" s="194">
        <f>M686+M687</f>
        <v>0</v>
      </c>
      <c r="N685" s="194">
        <f>N686+N687</f>
        <v>0</v>
      </c>
      <c r="O685" s="194">
        <f ca="1">IF(L685&gt;0,N685*100/L685,0)</f>
        <v>0</v>
      </c>
      <c r="P685" s="194">
        <f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184</v>
      </c>
      <c r="F686" s="758"/>
      <c r="G686" s="602"/>
      <c r="H686" s="164" t="s">
        <v>12</v>
      </c>
      <c r="I686" s="616"/>
      <c r="J686" s="616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185</v>
      </c>
      <c r="F687" s="758"/>
      <c r="G687" s="602"/>
      <c r="H687" s="164" t="s">
        <v>12</v>
      </c>
      <c r="I687" s="616"/>
      <c r="J687" s="616"/>
      <c r="K687" s="92"/>
      <c r="L687" s="92">
        <f t="shared" ca="1" si="97"/>
        <v>0</v>
      </c>
      <c r="M687" s="92">
        <f t="shared" si="97"/>
        <v>0</v>
      </c>
      <c r="N687" s="92">
        <f t="shared" si="97"/>
        <v>0</v>
      </c>
      <c r="O687" s="92">
        <f ca="1">IF(L687&gt;0,N687*100/L687,0)</f>
        <v>0</v>
      </c>
      <c r="P687" s="92">
        <f>IF(M687&gt;0,N687*100/M687,0)</f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8"/>
      <c r="H688" s="160" t="s">
        <v>12</v>
      </c>
      <c r="I688" s="183"/>
      <c r="J688" s="183"/>
      <c r="K688" s="162"/>
      <c r="L688" s="497">
        <f ca="1">L689+L690</f>
        <v>0</v>
      </c>
      <c r="M688" s="497">
        <f>M689+M690</f>
        <v>0</v>
      </c>
      <c r="N688" s="497">
        <f>N689+N690</f>
        <v>0</v>
      </c>
      <c r="O688" s="497">
        <f ca="1">IF(L688&gt;0,N688*100/L688,0)</f>
        <v>0</v>
      </c>
      <c r="P688" s="497">
        <f>IF(M688&gt;0,N688*100/M688,0)</f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184</v>
      </c>
      <c r="F689" s="758"/>
      <c r="G689" s="602"/>
      <c r="H689" s="164" t="s">
        <v>12</v>
      </c>
      <c r="I689" s="616"/>
      <c r="J689" s="616"/>
      <c r="K689" s="92"/>
      <c r="L689" s="92">
        <v>0</v>
      </c>
      <c r="M689" s="92">
        <v>0</v>
      </c>
      <c r="N689" s="92">
        <v>0</v>
      </c>
      <c r="O689" s="92"/>
      <c r="P689" s="92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185</v>
      </c>
      <c r="F690" s="758"/>
      <c r="G690" s="602"/>
      <c r="H690" s="164" t="s">
        <v>12</v>
      </c>
      <c r="I690" s="616"/>
      <c r="J690" s="616"/>
      <c r="K690" s="92"/>
      <c r="L690" s="92">
        <f ca="1">IFERROR(__xludf.DUMMYFUNCTION("IMPORTRANGE(""https://docs.google.com/spreadsheets/d/1QqKyyYR6Q21VydFLVH3TRQUabQu_ym0Zz7PgGX0-kHA/edit?usp=sharing"",""แผน!HW78"")"),0)</f>
        <v>0</v>
      </c>
      <c r="M690" s="92">
        <v>0</v>
      </c>
      <c r="N690" s="92">
        <f>N691+N692+N693+N694</f>
        <v>0</v>
      </c>
      <c r="O690" s="92">
        <f ca="1">IF(L690&gt;0,N690*100/L690,0)</f>
        <v>0</v>
      </c>
      <c r="P690" s="92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826">
        <v>0</v>
      </c>
      <c r="O691" s="497"/>
      <c r="P691" s="497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826">
        <v>0</v>
      </c>
      <c r="O692" s="497"/>
      <c r="P692" s="497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826">
        <v>0</v>
      </c>
      <c r="O693" s="497"/>
      <c r="P693" s="497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826">
        <v>0</v>
      </c>
      <c r="O694" s="497"/>
      <c r="P694" s="497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38" t="s">
        <v>38</v>
      </c>
      <c r="E698" s="760"/>
      <c r="F698" s="760"/>
      <c r="G698" s="612"/>
      <c r="H698" s="761"/>
      <c r="I698" s="183"/>
      <c r="J698" s="183"/>
      <c r="K698" s="162"/>
      <c r="L698" s="162"/>
      <c r="M698" s="162"/>
      <c r="N698" s="162"/>
      <c r="O698" s="162"/>
      <c r="P698" s="162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294</v>
      </c>
      <c r="E699" s="762"/>
      <c r="F699" s="762"/>
      <c r="G699" s="188"/>
      <c r="H699" s="763" t="s">
        <v>46</v>
      </c>
      <c r="I699" s="764">
        <f ca="1">IFERROR(__xludf.DUMMYFUNCTION("IMPORTRANGE(""https://docs.google.com/spreadsheets/d/1QqKyyYR6Q21VydFLVH3TRQUabQu_ym0Zz7PgGX0-kHA/edit?usp=sharing"",""แผน!IC78"")"),0)</f>
        <v>0</v>
      </c>
      <c r="J699" s="269">
        <f ca="1">IFERROR(__xludf.DUMMYFUNCTION("IMPORTRANGE(""https://docs.google.com/spreadsheets/d/1XWAQStnk-4SwqDmLtmXYiTMKHgktTP8We1SCoS47DrQ/edit?usp=sharing"",""จัดที่ดิน!BB78"")"),0)</f>
        <v>0</v>
      </c>
      <c r="K699" s="497">
        <f ca="1">IF(I699&gt;0,J699*100/I699,0)</f>
        <v>0</v>
      </c>
      <c r="L699" s="497"/>
      <c r="M699" s="188"/>
      <c r="N699" s="765"/>
      <c r="O699" s="497"/>
      <c r="P699" s="497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295</v>
      </c>
      <c r="E700" s="762"/>
      <c r="F700" s="762"/>
      <c r="G700" s="188"/>
      <c r="H700" s="763" t="s">
        <v>35</v>
      </c>
      <c r="I700" s="764">
        <f ca="1">IFERROR(__xludf.DUMMYFUNCTION("IMPORTRANGE(""https://docs.google.com/spreadsheets/d/1QqKyyYR6Q21VydFLVH3TRQUabQu_ym0Zz7PgGX0-kHA/edit?usp=sharing"",""แผน!ID78"")"),0)</f>
        <v>0</v>
      </c>
      <c r="J700" s="269">
        <f ca="1">IFERROR(__xludf.DUMMYFUNCTION("IMPORTRANGE(""https://docs.google.com/spreadsheets/d/1XWAQStnk-4SwqDmLtmXYiTMKHgktTP8We1SCoS47DrQ/edit?usp=sharing"",""จัดที่ดิน!BD78"")"),0)</f>
        <v>0</v>
      </c>
      <c r="K700" s="497">
        <f ca="1">IF(I700&gt;0,J700*100/I700,0)</f>
        <v>0</v>
      </c>
      <c r="L700" s="497"/>
      <c r="M700" s="188"/>
      <c r="N700" s="765"/>
      <c r="O700" s="497"/>
      <c r="P700" s="497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296</v>
      </c>
      <c r="E701" s="762"/>
      <c r="F701" s="762"/>
      <c r="G701" s="188"/>
      <c r="H701" s="766" t="s">
        <v>46</v>
      </c>
      <c r="I701" s="767">
        <f ca="1">IFERROR(__xludf.DUMMYFUNCTION("IMPORTRANGE(""https://docs.google.com/spreadsheets/d/1QqKyyYR6Q21VydFLVH3TRQUabQu_ym0Zz7PgGX0-kHA/edit?usp=sharing"",""แผน!IE78"")"),0)</f>
        <v>0</v>
      </c>
      <c r="J701" s="680">
        <f>J704+J707</f>
        <v>0</v>
      </c>
      <c r="K701" s="194">
        <f ca="1">IF(I701&gt;0,J701*100/I701,0)</f>
        <v>0</v>
      </c>
      <c r="L701" s="497"/>
      <c r="M701" s="188"/>
      <c r="N701" s="765"/>
      <c r="O701" s="497"/>
      <c r="P701" s="497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297</v>
      </c>
      <c r="F702" s="762"/>
      <c r="G702" s="188"/>
      <c r="H702" s="763" t="s">
        <v>35</v>
      </c>
      <c r="I702" s="764"/>
      <c r="J702" s="214">
        <v>0</v>
      </c>
      <c r="K702" s="497"/>
      <c r="L702" s="497"/>
      <c r="M702" s="188"/>
      <c r="N702" s="765"/>
      <c r="O702" s="497"/>
      <c r="P702" s="497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8"/>
      <c r="H703" s="763" t="s">
        <v>34</v>
      </c>
      <c r="I703" s="764"/>
      <c r="J703" s="214">
        <v>0</v>
      </c>
      <c r="K703" s="497"/>
      <c r="L703" s="497"/>
      <c r="M703" s="188"/>
      <c r="N703" s="765"/>
      <c r="O703" s="497"/>
      <c r="P703" s="497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8"/>
      <c r="H704" s="763" t="s">
        <v>46</v>
      </c>
      <c r="I704" s="764">
        <f ca="1">IFERROR(__xludf.DUMMYFUNCTION("IMPORTRANGE(""https://docs.google.com/spreadsheets/d/1QqKyyYR6Q21VydFLVH3TRQUabQu_ym0Zz7PgGX0-kHA/edit?usp=sharing"",""แผน!IF78"")"),0)</f>
        <v>0</v>
      </c>
      <c r="J704" s="214">
        <v>0</v>
      </c>
      <c r="K704" s="497"/>
      <c r="L704" s="497"/>
      <c r="M704" s="188"/>
      <c r="N704" s="765"/>
      <c r="O704" s="497"/>
      <c r="P704" s="497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298</v>
      </c>
      <c r="F705" s="762"/>
      <c r="G705" s="188"/>
      <c r="H705" s="763" t="s">
        <v>35</v>
      </c>
      <c r="I705" s="764"/>
      <c r="J705" s="214">
        <v>0</v>
      </c>
      <c r="K705" s="497"/>
      <c r="L705" s="497"/>
      <c r="M705" s="188"/>
      <c r="N705" s="765"/>
      <c r="O705" s="497"/>
      <c r="P705" s="497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8"/>
      <c r="H706" s="763" t="s">
        <v>34</v>
      </c>
      <c r="I706" s="764"/>
      <c r="J706" s="214">
        <v>0</v>
      </c>
      <c r="K706" s="497"/>
      <c r="L706" s="497"/>
      <c r="M706" s="188"/>
      <c r="N706" s="765"/>
      <c r="O706" s="497"/>
      <c r="P706" s="497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8"/>
      <c r="H707" s="763" t="s">
        <v>46</v>
      </c>
      <c r="I707" s="764">
        <f ca="1">IFERROR(__xludf.DUMMYFUNCTION("IMPORTRANGE(""https://docs.google.com/spreadsheets/d/1QqKyyYR6Q21VydFLVH3TRQUabQu_ym0Zz7PgGX0-kHA/edit?usp=sharing"",""แผน!IG78"")"),0)</f>
        <v>0</v>
      </c>
      <c r="J707" s="214">
        <v>0</v>
      </c>
      <c r="K707" s="497"/>
      <c r="L707" s="497"/>
      <c r="M707" s="188"/>
      <c r="N707" s="765"/>
      <c r="O707" s="497"/>
      <c r="P707" s="497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299</v>
      </c>
      <c r="E708" s="762"/>
      <c r="F708" s="762"/>
      <c r="G708" s="188"/>
      <c r="H708" s="766" t="s">
        <v>46</v>
      </c>
      <c r="I708" s="767">
        <f ca="1">IFERROR(__xludf.DUMMYFUNCTION("IMPORTRANGE(""https://docs.google.com/spreadsheets/d/1QqKyyYR6Q21VydFLVH3TRQUabQu_ym0Zz7PgGX0-kHA/edit?usp=sharing"",""แผน!IH78"")"),0)</f>
        <v>0</v>
      </c>
      <c r="J708" s="680">
        <f>J714+J717</f>
        <v>0</v>
      </c>
      <c r="K708" s="194">
        <f ca="1">IF(I708&gt;0,J708*100/I708,0)</f>
        <v>0</v>
      </c>
      <c r="L708" s="497"/>
      <c r="M708" s="188"/>
      <c r="N708" s="765"/>
      <c r="O708" s="497"/>
      <c r="P708" s="497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300</v>
      </c>
      <c r="F709" s="762"/>
      <c r="G709" s="188"/>
      <c r="H709" s="763" t="s">
        <v>34</v>
      </c>
      <c r="I709" s="764"/>
      <c r="J709" s="214">
        <v>0</v>
      </c>
      <c r="K709" s="497"/>
      <c r="L709" s="765"/>
      <c r="M709" s="188"/>
      <c r="N709" s="765"/>
      <c r="O709" s="497"/>
      <c r="P709" s="497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8"/>
      <c r="H710" s="763" t="s">
        <v>46</v>
      </c>
      <c r="I710" s="764"/>
      <c r="J710" s="214">
        <v>0</v>
      </c>
      <c r="K710" s="497"/>
      <c r="L710" s="765"/>
      <c r="M710" s="188"/>
      <c r="N710" s="765"/>
      <c r="O710" s="497"/>
      <c r="P710" s="497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301</v>
      </c>
      <c r="F711" s="762"/>
      <c r="G711" s="188"/>
      <c r="H711" s="761"/>
      <c r="I711" s="764"/>
      <c r="J711" s="269"/>
      <c r="K711" s="497"/>
      <c r="L711" s="765"/>
      <c r="M711" s="188"/>
      <c r="N711" s="765"/>
      <c r="O711" s="497"/>
      <c r="P711" s="497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302</v>
      </c>
      <c r="G712" s="188"/>
      <c r="H712" s="763" t="s">
        <v>35</v>
      </c>
      <c r="I712" s="764"/>
      <c r="J712" s="214">
        <v>0</v>
      </c>
      <c r="K712" s="497"/>
      <c r="L712" s="765"/>
      <c r="M712" s="188"/>
      <c r="N712" s="765"/>
      <c r="O712" s="497"/>
      <c r="P712" s="497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8"/>
      <c r="H713" s="763" t="s">
        <v>34</v>
      </c>
      <c r="I713" s="764"/>
      <c r="J713" s="214">
        <v>0</v>
      </c>
      <c r="K713" s="497"/>
      <c r="L713" s="765"/>
      <c r="M713" s="188"/>
      <c r="N713" s="765"/>
      <c r="O713" s="497"/>
      <c r="P713" s="497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8"/>
      <c r="H714" s="763" t="s">
        <v>46</v>
      </c>
      <c r="I714" s="764"/>
      <c r="J714" s="214">
        <v>0</v>
      </c>
      <c r="K714" s="497"/>
      <c r="L714" s="765"/>
      <c r="M714" s="188"/>
      <c r="N714" s="765"/>
      <c r="O714" s="497"/>
      <c r="P714" s="497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303</v>
      </c>
      <c r="G715" s="188"/>
      <c r="H715" s="763" t="s">
        <v>35</v>
      </c>
      <c r="I715" s="764"/>
      <c r="J715" s="214">
        <v>0</v>
      </c>
      <c r="K715" s="497"/>
      <c r="L715" s="765"/>
      <c r="M715" s="188"/>
      <c r="N715" s="765"/>
      <c r="O715" s="497"/>
      <c r="P715" s="497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8"/>
      <c r="H716" s="763" t="s">
        <v>34</v>
      </c>
      <c r="I716" s="764"/>
      <c r="J716" s="214">
        <v>0</v>
      </c>
      <c r="K716" s="497"/>
      <c r="L716" s="765"/>
      <c r="M716" s="188"/>
      <c r="N716" s="765"/>
      <c r="O716" s="497"/>
      <c r="P716" s="497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8"/>
      <c r="H717" s="763" t="s">
        <v>46</v>
      </c>
      <c r="I717" s="764"/>
      <c r="J717" s="214">
        <v>0</v>
      </c>
      <c r="K717" s="497"/>
      <c r="L717" s="765"/>
      <c r="M717" s="188"/>
      <c r="N717" s="765"/>
      <c r="O717" s="497"/>
      <c r="P717" s="497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304</v>
      </c>
      <c r="E718" s="762"/>
      <c r="F718" s="762"/>
      <c r="G718" s="188"/>
      <c r="H718" s="763" t="s">
        <v>35</v>
      </c>
      <c r="I718" s="764"/>
      <c r="J718" s="269">
        <f ca="1">IFERROR(__xludf.DUMMYFUNCTION("IMPORTRANGE(""https://docs.google.com/spreadsheets/d/1XWAQStnk-4SwqDmLtmXYiTMKHgktTP8We1SCoS47DrQ/edit?usp=sharing"",""จัดที่ดิน!BF78"")"),0)</f>
        <v>0</v>
      </c>
      <c r="K718" s="497"/>
      <c r="L718" s="497"/>
      <c r="M718" s="188"/>
      <c r="N718" s="765"/>
      <c r="O718" s="497"/>
      <c r="P718" s="497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8"/>
      <c r="H719" s="763" t="s">
        <v>34</v>
      </c>
      <c r="I719" s="764"/>
      <c r="J719" s="269">
        <f ca="1">IFERROR(__xludf.DUMMYFUNCTION("IMPORTRANGE(""https://docs.google.com/spreadsheets/d/1XWAQStnk-4SwqDmLtmXYiTMKHgktTP8We1SCoS47DrQ/edit?usp=sharing"",""จัดที่ดิน!BG78"")"),0)</f>
        <v>0</v>
      </c>
      <c r="K719" s="497"/>
      <c r="L719" s="765"/>
      <c r="M719" s="188"/>
      <c r="N719" s="765"/>
      <c r="O719" s="497"/>
      <c r="P719" s="497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8"/>
      <c r="H720" s="763" t="s">
        <v>46</v>
      </c>
      <c r="I720" s="764">
        <f ca="1">IFERROR(__xludf.DUMMYFUNCTION("IMPORTRANGE(""https://docs.google.com/spreadsheets/d/1QqKyyYR6Q21VydFLVH3TRQUabQu_ym0Zz7PgGX0-kHA/edit?usp=sharing"",""แผน!II78"")"),0)</f>
        <v>0</v>
      </c>
      <c r="J720" s="269">
        <f ca="1">IFERROR(__xludf.DUMMYFUNCTION("IMPORTRANGE(""https://docs.google.com/spreadsheets/d/1XWAQStnk-4SwqDmLtmXYiTMKHgktTP8We1SCoS47DrQ/edit?usp=sharing"",""จัดที่ดิน!BH78"")"),0)</f>
        <v>0</v>
      </c>
      <c r="K720" s="497">
        <f ca="1">IF(I720&gt;0,J720*100/I720,0)</f>
        <v>0</v>
      </c>
      <c r="L720" s="765"/>
      <c r="M720" s="188"/>
      <c r="N720" s="765"/>
      <c r="O720" s="497"/>
      <c r="P720" s="497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305</v>
      </c>
      <c r="E721" s="762"/>
      <c r="F721" s="762"/>
      <c r="G721" s="188"/>
      <c r="H721" s="766" t="s">
        <v>35</v>
      </c>
      <c r="I721" s="767">
        <f ca="1">IFERROR(__xludf.DUMMYFUNCTION("IMPORTRANGE(""https://docs.google.com/spreadsheets/d/1QqKyyYR6Q21VydFLVH3TRQUabQu_ym0Zz7PgGX0-kHA/edit?usp=sharing"",""แผน!IJ78"")"),0)</f>
        <v>0</v>
      </c>
      <c r="J721" s="680">
        <f ca="1">J723+J726</f>
        <v>0</v>
      </c>
      <c r="K721" s="194">
        <f ca="1">IF(I721&gt;0,J721*100/I721,0)</f>
        <v>0</v>
      </c>
      <c r="L721" s="765"/>
      <c r="M721" s="188"/>
      <c r="N721" s="765"/>
      <c r="O721" s="497"/>
      <c r="P721" s="497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8"/>
      <c r="H722" s="766" t="s">
        <v>46</v>
      </c>
      <c r="I722" s="767">
        <f ca="1">IFERROR(__xludf.DUMMYFUNCTION("IMPORTRANGE(""https://docs.google.com/spreadsheets/d/1QqKyyYR6Q21VydFLVH3TRQUabQu_ym0Zz7PgGX0-kHA/edit?usp=sharing"",""แผน!IK78"")"),0)</f>
        <v>0</v>
      </c>
      <c r="J722" s="680">
        <f ca="1">J725+J728</f>
        <v>0</v>
      </c>
      <c r="K722" s="194">
        <f ca="1">IF(I722&gt;0,J722*100/I722,0)</f>
        <v>0</v>
      </c>
      <c r="L722" s="497"/>
      <c r="M722" s="188"/>
      <c r="N722" s="765"/>
      <c r="O722" s="497"/>
      <c r="P722" s="497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306</v>
      </c>
      <c r="F723" s="762"/>
      <c r="G723" s="188"/>
      <c r="H723" s="763" t="s">
        <v>35</v>
      </c>
      <c r="I723" s="764">
        <f ca="1">IFERROR(__xludf.DUMMYFUNCTION("IMPORTRANGE(""https://docs.google.com/spreadsheets/d/1QqKyyYR6Q21VydFLVH3TRQUabQu_ym0Zz7PgGX0-kHA/edit?usp=sharing"",""แผน!IL78"")"),0)</f>
        <v>0</v>
      </c>
      <c r="J723" s="269">
        <f ca="1">IFERROR(__xludf.DUMMYFUNCTION("IMPORTRANGE(""https://docs.google.com/spreadsheets/d/1XWAQStnk-4SwqDmLtmXYiTMKHgktTP8We1SCoS47DrQ/edit?usp=sharing"",""จัดที่ดิน!BM78"")"),0)</f>
        <v>0</v>
      </c>
      <c r="K723" s="497">
        <f ca="1">IF(I723&gt;0,J723*100/I723,0)</f>
        <v>0</v>
      </c>
      <c r="L723" s="497"/>
      <c r="M723" s="188"/>
      <c r="N723" s="765"/>
      <c r="O723" s="497"/>
      <c r="P723" s="497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8"/>
      <c r="H724" s="763" t="s">
        <v>34</v>
      </c>
      <c r="I724" s="764"/>
      <c r="J724" s="269">
        <f ca="1">IFERROR(__xludf.DUMMYFUNCTION("IMPORTRANGE(""https://docs.google.com/spreadsheets/d/1XWAQStnk-4SwqDmLtmXYiTMKHgktTP8We1SCoS47DrQ/edit?usp=sharing"",""จัดที่ดิน!BN78"")"),0)</f>
        <v>0</v>
      </c>
      <c r="K724" s="497"/>
      <c r="L724" s="765"/>
      <c r="M724" s="188"/>
      <c r="N724" s="765"/>
      <c r="O724" s="497"/>
      <c r="P724" s="497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8"/>
      <c r="H725" s="763" t="s">
        <v>46</v>
      </c>
      <c r="I725" s="764">
        <f ca="1">IFERROR(__xludf.DUMMYFUNCTION("IMPORTRANGE(""https://docs.google.com/spreadsheets/d/1QqKyyYR6Q21VydFLVH3TRQUabQu_ym0Zz7PgGX0-kHA/edit?usp=sharing"",""แผน!IM78"")"),0)</f>
        <v>0</v>
      </c>
      <c r="J725" s="269">
        <f ca="1">IFERROR(__xludf.DUMMYFUNCTION("IMPORTRANGE(""https://docs.google.com/spreadsheets/d/1XWAQStnk-4SwqDmLtmXYiTMKHgktTP8We1SCoS47DrQ/edit?usp=sharing"",""จัดที่ดิน!BO78"")"),0)</f>
        <v>0</v>
      </c>
      <c r="K725" s="497">
        <f ca="1">IF(I725&gt;0,J725*100/I725,0)</f>
        <v>0</v>
      </c>
      <c r="L725" s="765"/>
      <c r="M725" s="188"/>
      <c r="N725" s="765"/>
      <c r="O725" s="497"/>
      <c r="P725" s="497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307</v>
      </c>
      <c r="F726" s="762"/>
      <c r="G726" s="188"/>
      <c r="H726" s="763" t="s">
        <v>35</v>
      </c>
      <c r="I726" s="764">
        <f ca="1">IFERROR(__xludf.DUMMYFUNCTION("IMPORTRANGE(""https://docs.google.com/spreadsheets/d/1QqKyyYR6Q21VydFLVH3TRQUabQu_ym0Zz7PgGX0-kHA/edit?usp=sharing"",""แผน!IN78"")"),0)</f>
        <v>0</v>
      </c>
      <c r="J726" s="269">
        <f ca="1">IFERROR(__xludf.DUMMYFUNCTION("IMPORTRANGE(""https://docs.google.com/spreadsheets/d/1XWAQStnk-4SwqDmLtmXYiTMKHgktTP8We1SCoS47DrQ/edit?usp=sharing"",""จัดที่ดิน!BR78"")"),0)</f>
        <v>0</v>
      </c>
      <c r="K726" s="497">
        <f ca="1">IF(I726&gt;0,J726*100/I726,0)</f>
        <v>0</v>
      </c>
      <c r="L726" s="497"/>
      <c r="M726" s="188"/>
      <c r="N726" s="765"/>
      <c r="O726" s="497"/>
      <c r="P726" s="497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8"/>
      <c r="H727" s="763" t="s">
        <v>34</v>
      </c>
      <c r="I727" s="764"/>
      <c r="J727" s="269">
        <f ca="1">IFERROR(__xludf.DUMMYFUNCTION("IMPORTRANGE(""https://docs.google.com/spreadsheets/d/1XWAQStnk-4SwqDmLtmXYiTMKHgktTP8We1SCoS47DrQ/edit?usp=sharing"",""จัดที่ดิน!BS78"")"),0)</f>
        <v>0</v>
      </c>
      <c r="K727" s="497"/>
      <c r="L727" s="765"/>
      <c r="M727" s="188"/>
      <c r="N727" s="765"/>
      <c r="O727" s="497"/>
      <c r="P727" s="497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8"/>
      <c r="H728" s="763" t="s">
        <v>46</v>
      </c>
      <c r="I728" s="764">
        <f ca="1">IFERROR(__xludf.DUMMYFUNCTION("IMPORTRANGE(""https://docs.google.com/spreadsheets/d/1QqKyyYR6Q21VydFLVH3TRQUabQu_ym0Zz7PgGX0-kHA/edit?usp=sharing"",""แผน!IO78"")"),0)</f>
        <v>0</v>
      </c>
      <c r="J728" s="269">
        <f ca="1">IFERROR(__xludf.DUMMYFUNCTION("IMPORTRANGE(""https://docs.google.com/spreadsheets/d/1XWAQStnk-4SwqDmLtmXYiTMKHgktTP8We1SCoS47DrQ/edit?usp=sharing"",""จัดที่ดิน!BT78"")"),0)</f>
        <v>0</v>
      </c>
      <c r="K728" s="497">
        <f ca="1">IF(I728&gt;0,J728*100/I728,0)</f>
        <v>0</v>
      </c>
      <c r="L728" s="765"/>
      <c r="M728" s="188"/>
      <c r="N728" s="765"/>
      <c r="O728" s="497"/>
      <c r="P728" s="497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308</v>
      </c>
      <c r="E729" s="762"/>
      <c r="F729" s="762"/>
      <c r="G729" s="188"/>
      <c r="H729" s="766" t="s">
        <v>46</v>
      </c>
      <c r="I729" s="767">
        <f ca="1">IFERROR(__xludf.DUMMYFUNCTION("IMPORTRANGE(""https://docs.google.com/spreadsheets/d/1QqKyyYR6Q21VydFLVH3TRQUabQu_ym0Zz7PgGX0-kHA/edit?usp=sharing"",""แผน!IP78"")"),0)</f>
        <v>0</v>
      </c>
      <c r="J729" s="680">
        <f>J732+J735</f>
        <v>0</v>
      </c>
      <c r="K729" s="194">
        <f ca="1">IF(I729&gt;0,J729*100/I729,0)</f>
        <v>0</v>
      </c>
      <c r="L729" s="497"/>
      <c r="M729" s="188"/>
      <c r="N729" s="765"/>
      <c r="O729" s="497"/>
      <c r="P729" s="497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309</v>
      </c>
      <c r="F730" s="762"/>
      <c r="G730" s="188"/>
      <c r="H730" s="763" t="s">
        <v>35</v>
      </c>
      <c r="I730" s="764"/>
      <c r="J730" s="214">
        <v>0</v>
      </c>
      <c r="K730" s="497"/>
      <c r="L730" s="765"/>
      <c r="M730" s="497"/>
      <c r="N730" s="765"/>
      <c r="O730" s="497"/>
      <c r="P730" s="497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8"/>
      <c r="H731" s="763" t="s">
        <v>34</v>
      </c>
      <c r="I731" s="764"/>
      <c r="J731" s="214">
        <v>0</v>
      </c>
      <c r="K731" s="497"/>
      <c r="L731" s="765"/>
      <c r="M731" s="497"/>
      <c r="N731" s="765"/>
      <c r="O731" s="497"/>
      <c r="P731" s="497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8"/>
      <c r="H732" s="763" t="s">
        <v>46</v>
      </c>
      <c r="I732" s="764"/>
      <c r="J732" s="214">
        <v>0</v>
      </c>
      <c r="K732" s="497"/>
      <c r="L732" s="765"/>
      <c r="M732" s="497"/>
      <c r="N732" s="765"/>
      <c r="O732" s="497"/>
      <c r="P732" s="497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310</v>
      </c>
      <c r="F733" s="762"/>
      <c r="G733" s="188"/>
      <c r="H733" s="763" t="s">
        <v>35</v>
      </c>
      <c r="I733" s="764"/>
      <c r="J733" s="214">
        <v>0</v>
      </c>
      <c r="K733" s="497"/>
      <c r="L733" s="765"/>
      <c r="M733" s="497"/>
      <c r="N733" s="765"/>
      <c r="O733" s="497"/>
      <c r="P733" s="497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8"/>
      <c r="H734" s="763" t="s">
        <v>34</v>
      </c>
      <c r="I734" s="764"/>
      <c r="J734" s="214">
        <v>0</v>
      </c>
      <c r="K734" s="497"/>
      <c r="L734" s="765"/>
      <c r="M734" s="497"/>
      <c r="N734" s="765"/>
      <c r="O734" s="497"/>
      <c r="P734" s="497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311</v>
      </c>
      <c r="C735" s="733"/>
      <c r="D735" s="733"/>
      <c r="E735" s="733"/>
      <c r="F735" s="733"/>
      <c r="G735" s="734"/>
      <c r="H735" s="422" t="s">
        <v>46</v>
      </c>
      <c r="I735" s="771"/>
      <c r="J735" s="424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312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92" t="s">
        <v>17</v>
      </c>
      <c r="E737" s="888"/>
      <c r="F737" s="888"/>
      <c r="G737" s="602"/>
      <c r="H737" s="645" t="s">
        <v>12</v>
      </c>
      <c r="I737" s="616"/>
      <c r="J737" s="616"/>
      <c r="K737" s="92"/>
      <c r="L737" s="646">
        <f>L738+L739</f>
        <v>0</v>
      </c>
      <c r="M737" s="646">
        <f>M738+M739</f>
        <v>0</v>
      </c>
      <c r="N737" s="646">
        <f>N738+N739</f>
        <v>0</v>
      </c>
      <c r="O737" s="646">
        <f t="shared" ref="O737:O742" si="98">IF(L737&gt;0,N737*100/L737,0)</f>
        <v>0</v>
      </c>
      <c r="P737" s="646">
        <f t="shared" ref="P737:P742" si="99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184</v>
      </c>
      <c r="F738" s="758"/>
      <c r="G738" s="602"/>
      <c r="H738" s="164" t="s">
        <v>12</v>
      </c>
      <c r="I738" s="616"/>
      <c r="J738" s="616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185</v>
      </c>
      <c r="F739" s="758"/>
      <c r="G739" s="602"/>
      <c r="H739" s="164" t="s">
        <v>12</v>
      </c>
      <c r="I739" s="616"/>
      <c r="J739" s="616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5"/>
      <c r="J740" s="165"/>
      <c r="K740" s="166"/>
      <c r="L740" s="646">
        <f>L741+L742</f>
        <v>0</v>
      </c>
      <c r="M740" s="646">
        <f>M741+M742</f>
        <v>0</v>
      </c>
      <c r="N740" s="646">
        <f>N741+N742</f>
        <v>0</v>
      </c>
      <c r="O740" s="646">
        <f t="shared" si="98"/>
        <v>0</v>
      </c>
      <c r="P740" s="646">
        <f t="shared" si="99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184</v>
      </c>
      <c r="F741" s="758"/>
      <c r="G741" s="602"/>
      <c r="H741" s="164" t="s">
        <v>12</v>
      </c>
      <c r="I741" s="616"/>
      <c r="J741" s="616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185</v>
      </c>
      <c r="F742" s="758"/>
      <c r="G742" s="602"/>
      <c r="H742" s="164" t="s">
        <v>12</v>
      </c>
      <c r="I742" s="616"/>
      <c r="J742" s="616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186</v>
      </c>
      <c r="G743" s="602"/>
      <c r="H743" s="164" t="s">
        <v>12</v>
      </c>
      <c r="I743" s="616"/>
      <c r="J743" s="616"/>
      <c r="K743" s="92"/>
      <c r="L743" s="92"/>
      <c r="M743" s="92"/>
      <c r="N743" s="92"/>
      <c r="O743" s="92"/>
      <c r="P743" s="92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187</v>
      </c>
      <c r="G744" s="602"/>
      <c r="H744" s="164" t="s">
        <v>12</v>
      </c>
      <c r="I744" s="616"/>
      <c r="J744" s="616"/>
      <c r="K744" s="92"/>
      <c r="L744" s="92"/>
      <c r="M744" s="92"/>
      <c r="N744" s="92"/>
      <c r="O744" s="92"/>
      <c r="P744" s="92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188</v>
      </c>
      <c r="G745" s="602"/>
      <c r="H745" s="164" t="s">
        <v>12</v>
      </c>
      <c r="I745" s="616"/>
      <c r="J745" s="616"/>
      <c r="K745" s="92"/>
      <c r="L745" s="92"/>
      <c r="M745" s="92"/>
      <c r="N745" s="92"/>
      <c r="O745" s="92"/>
      <c r="P745" s="92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189</v>
      </c>
      <c r="G746" s="602"/>
      <c r="H746" s="164" t="s">
        <v>12</v>
      </c>
      <c r="I746" s="616"/>
      <c r="J746" s="616"/>
      <c r="K746" s="92"/>
      <c r="L746" s="92"/>
      <c r="M746" s="92"/>
      <c r="N746" s="92"/>
      <c r="O746" s="92"/>
      <c r="P746" s="92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5"/>
      <c r="J747" s="165"/>
      <c r="K747" s="166"/>
      <c r="L747" s="646">
        <f>L748+L749</f>
        <v>0</v>
      </c>
      <c r="M747" s="646">
        <f>M748+M749</f>
        <v>0</v>
      </c>
      <c r="N747" s="646">
        <f>N748+N749</f>
        <v>0</v>
      </c>
      <c r="O747" s="646">
        <f>IF(L747&gt;0,N747*100/L747,0)</f>
        <v>0</v>
      </c>
      <c r="P747" s="646">
        <f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39" t="s">
        <v>38</v>
      </c>
      <c r="E750" s="650"/>
      <c r="F750" s="650"/>
      <c r="G750" s="651"/>
      <c r="H750" s="365"/>
      <c r="I750" s="165"/>
      <c r="J750" s="165"/>
      <c r="K750" s="166"/>
      <c r="L750" s="166"/>
      <c r="M750" s="166"/>
      <c r="N750" s="166"/>
      <c r="O750" s="166"/>
      <c r="P750" s="166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313</v>
      </c>
      <c r="F751" s="758"/>
      <c r="G751" s="602"/>
      <c r="H751" s="164" t="s">
        <v>46</v>
      </c>
      <c r="I751" s="616"/>
      <c r="J751" s="616"/>
      <c r="K751" s="92"/>
      <c r="L751" s="92"/>
      <c r="M751" s="92"/>
      <c r="N751" s="92"/>
      <c r="O751" s="92"/>
      <c r="P751" s="92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4" t="s">
        <v>314</v>
      </c>
      <c r="I752" s="616"/>
      <c r="J752" s="616"/>
      <c r="K752" s="92"/>
      <c r="L752" s="92"/>
      <c r="M752" s="92"/>
      <c r="N752" s="92"/>
      <c r="O752" s="92"/>
      <c r="P752" s="92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315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92" t="s">
        <v>17</v>
      </c>
      <c r="E754" s="888"/>
      <c r="F754" s="888"/>
      <c r="G754" s="602"/>
      <c r="H754" s="645" t="s">
        <v>12</v>
      </c>
      <c r="I754" s="616"/>
      <c r="J754" s="616"/>
      <c r="K754" s="92"/>
      <c r="L754" s="646">
        <f>L755+L756</f>
        <v>0</v>
      </c>
      <c r="M754" s="646">
        <f>M755+M756</f>
        <v>0</v>
      </c>
      <c r="N754" s="646">
        <f>N755+N756</f>
        <v>0</v>
      </c>
      <c r="O754" s="646">
        <f t="shared" ref="O754:O759" si="101">IF(L754&gt;0,N754*100/L754,0)</f>
        <v>0</v>
      </c>
      <c r="P754" s="646">
        <f t="shared" ref="P754:P759" si="102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184</v>
      </c>
      <c r="F755" s="758"/>
      <c r="G755" s="602"/>
      <c r="H755" s="164" t="s">
        <v>12</v>
      </c>
      <c r="I755" s="616"/>
      <c r="J755" s="616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185</v>
      </c>
      <c r="F756" s="758"/>
      <c r="G756" s="602"/>
      <c r="H756" s="164" t="s">
        <v>12</v>
      </c>
      <c r="I756" s="616"/>
      <c r="J756" s="616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5"/>
      <c r="J757" s="165"/>
      <c r="K757" s="166"/>
      <c r="L757" s="646">
        <f>L758+L759</f>
        <v>0</v>
      </c>
      <c r="M757" s="646">
        <f>M758+M759</f>
        <v>0</v>
      </c>
      <c r="N757" s="646">
        <f>N758+N759</f>
        <v>0</v>
      </c>
      <c r="O757" s="646">
        <f t="shared" si="101"/>
        <v>0</v>
      </c>
      <c r="P757" s="646">
        <f t="shared" si="102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184</v>
      </c>
      <c r="F758" s="758"/>
      <c r="G758" s="602"/>
      <c r="H758" s="164" t="s">
        <v>12</v>
      </c>
      <c r="I758" s="616"/>
      <c r="J758" s="616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185</v>
      </c>
      <c r="F759" s="758"/>
      <c r="G759" s="602"/>
      <c r="H759" s="164" t="s">
        <v>12</v>
      </c>
      <c r="I759" s="616"/>
      <c r="J759" s="616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186</v>
      </c>
      <c r="G760" s="602"/>
      <c r="H760" s="164" t="s">
        <v>12</v>
      </c>
      <c r="I760" s="616"/>
      <c r="J760" s="616"/>
      <c r="K760" s="92"/>
      <c r="L760" s="92"/>
      <c r="M760" s="92"/>
      <c r="N760" s="92"/>
      <c r="O760" s="92"/>
      <c r="P760" s="92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187</v>
      </c>
      <c r="G761" s="602"/>
      <c r="H761" s="164" t="s">
        <v>12</v>
      </c>
      <c r="I761" s="616"/>
      <c r="J761" s="616"/>
      <c r="K761" s="92"/>
      <c r="L761" s="92"/>
      <c r="M761" s="92"/>
      <c r="N761" s="92"/>
      <c r="O761" s="92"/>
      <c r="P761" s="92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188</v>
      </c>
      <c r="G762" s="602"/>
      <c r="H762" s="164" t="s">
        <v>12</v>
      </c>
      <c r="I762" s="616"/>
      <c r="J762" s="616"/>
      <c r="K762" s="92"/>
      <c r="L762" s="92"/>
      <c r="M762" s="92"/>
      <c r="N762" s="92"/>
      <c r="O762" s="92"/>
      <c r="P762" s="92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189</v>
      </c>
      <c r="G763" s="602"/>
      <c r="H763" s="164" t="s">
        <v>12</v>
      </c>
      <c r="I763" s="616"/>
      <c r="J763" s="616"/>
      <c r="K763" s="92"/>
      <c r="L763" s="92"/>
      <c r="M763" s="92"/>
      <c r="N763" s="92"/>
      <c r="O763" s="92"/>
      <c r="P763" s="92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5"/>
      <c r="J764" s="165"/>
      <c r="K764" s="166"/>
      <c r="L764" s="646">
        <f>L765+L766</f>
        <v>0</v>
      </c>
      <c r="M764" s="646">
        <f>M765+M766</f>
        <v>0</v>
      </c>
      <c r="N764" s="646">
        <f>N765+N766</f>
        <v>0</v>
      </c>
      <c r="O764" s="646">
        <f>IF(L764&gt;0,N764*100/L764,0)</f>
        <v>0</v>
      </c>
      <c r="P764" s="646">
        <f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39" t="s">
        <v>38</v>
      </c>
      <c r="E767" s="650"/>
      <c r="F767" s="650"/>
      <c r="G767" s="651"/>
      <c r="H767" s="365"/>
      <c r="I767" s="165"/>
      <c r="J767" s="165"/>
      <c r="K767" s="166"/>
      <c r="L767" s="166"/>
      <c r="M767" s="166"/>
      <c r="N767" s="166"/>
      <c r="O767" s="166"/>
      <c r="P767" s="166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316</v>
      </c>
      <c r="F768" s="758"/>
      <c r="G768" s="602"/>
      <c r="H768" s="164" t="s">
        <v>46</v>
      </c>
      <c r="I768" s="616"/>
      <c r="J768" s="616"/>
      <c r="K768" s="92"/>
      <c r="L768" s="92"/>
      <c r="M768" s="92"/>
      <c r="N768" s="92"/>
      <c r="O768" s="92"/>
      <c r="P768" s="92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317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92" t="s">
        <v>17</v>
      </c>
      <c r="E770" s="888"/>
      <c r="F770" s="888"/>
      <c r="G770" s="602"/>
      <c r="H770" s="645" t="s">
        <v>12</v>
      </c>
      <c r="I770" s="616"/>
      <c r="J770" s="616"/>
      <c r="K770" s="92"/>
      <c r="L770" s="646">
        <f>L771+L772</f>
        <v>0</v>
      </c>
      <c r="M770" s="646">
        <f>M771+M772</f>
        <v>0</v>
      </c>
      <c r="N770" s="646">
        <f>N771+N772</f>
        <v>0</v>
      </c>
      <c r="O770" s="646">
        <f t="shared" ref="O770:O775" si="104">IF(L770&gt;0,N770*100/L770,0)</f>
        <v>0</v>
      </c>
      <c r="P770" s="646">
        <f t="shared" ref="P770:P775" si="105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184</v>
      </c>
      <c r="F771" s="758"/>
      <c r="G771" s="602"/>
      <c r="H771" s="164" t="s">
        <v>12</v>
      </c>
      <c r="I771" s="616"/>
      <c r="J771" s="616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185</v>
      </c>
      <c r="F772" s="758"/>
      <c r="G772" s="602"/>
      <c r="H772" s="164" t="s">
        <v>12</v>
      </c>
      <c r="I772" s="616"/>
      <c r="J772" s="616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5"/>
      <c r="J773" s="165"/>
      <c r="K773" s="166"/>
      <c r="L773" s="646">
        <f>L774+L775</f>
        <v>0</v>
      </c>
      <c r="M773" s="646">
        <f>M774+M775</f>
        <v>0</v>
      </c>
      <c r="N773" s="646">
        <f>N774+N775</f>
        <v>0</v>
      </c>
      <c r="O773" s="646">
        <f t="shared" si="104"/>
        <v>0</v>
      </c>
      <c r="P773" s="646">
        <f t="shared" si="105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184</v>
      </c>
      <c r="F774" s="758"/>
      <c r="G774" s="602"/>
      <c r="H774" s="164" t="s">
        <v>12</v>
      </c>
      <c r="I774" s="616"/>
      <c r="J774" s="616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185</v>
      </c>
      <c r="F775" s="758"/>
      <c r="G775" s="602"/>
      <c r="H775" s="164" t="s">
        <v>12</v>
      </c>
      <c r="I775" s="616"/>
      <c r="J775" s="616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186</v>
      </c>
      <c r="G776" s="602"/>
      <c r="H776" s="164" t="s">
        <v>12</v>
      </c>
      <c r="I776" s="616"/>
      <c r="J776" s="616"/>
      <c r="K776" s="92"/>
      <c r="L776" s="92"/>
      <c r="M776" s="92"/>
      <c r="N776" s="92"/>
      <c r="O776" s="92"/>
      <c r="P776" s="92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187</v>
      </c>
      <c r="G777" s="602"/>
      <c r="H777" s="164" t="s">
        <v>12</v>
      </c>
      <c r="I777" s="616"/>
      <c r="J777" s="616"/>
      <c r="K777" s="92"/>
      <c r="L777" s="92"/>
      <c r="M777" s="92"/>
      <c r="N777" s="92"/>
      <c r="O777" s="92"/>
      <c r="P777" s="92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188</v>
      </c>
      <c r="G778" s="602"/>
      <c r="H778" s="164" t="s">
        <v>12</v>
      </c>
      <c r="I778" s="616"/>
      <c r="J778" s="616"/>
      <c r="K778" s="92"/>
      <c r="L778" s="92"/>
      <c r="M778" s="92"/>
      <c r="N778" s="92"/>
      <c r="O778" s="92"/>
      <c r="P778" s="92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189</v>
      </c>
      <c r="G779" s="602"/>
      <c r="H779" s="164" t="s">
        <v>12</v>
      </c>
      <c r="I779" s="616"/>
      <c r="J779" s="616"/>
      <c r="K779" s="92"/>
      <c r="L779" s="92"/>
      <c r="M779" s="92"/>
      <c r="N779" s="92"/>
      <c r="O779" s="92"/>
      <c r="P779" s="92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5"/>
      <c r="J780" s="165"/>
      <c r="K780" s="166"/>
      <c r="L780" s="646">
        <f>L781+L782</f>
        <v>0</v>
      </c>
      <c r="M780" s="646">
        <f>M781+M782</f>
        <v>0</v>
      </c>
      <c r="N780" s="646">
        <f>N781+N782</f>
        <v>0</v>
      </c>
      <c r="O780" s="646">
        <f>IF(L780&gt;0,N780*100/L780,0)</f>
        <v>0</v>
      </c>
      <c r="P780" s="646">
        <f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39" t="s">
        <v>38</v>
      </c>
      <c r="E783" s="650"/>
      <c r="F783" s="650"/>
      <c r="G783" s="651"/>
      <c r="H783" s="800"/>
      <c r="I783" s="165"/>
      <c r="J783" s="165"/>
      <c r="K783" s="166"/>
      <c r="L783" s="166"/>
      <c r="M783" s="166"/>
      <c r="N783" s="166"/>
      <c r="O783" s="166"/>
      <c r="P783" s="166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318</v>
      </c>
      <c r="F784" s="758"/>
      <c r="G784" s="602"/>
      <c r="H784" s="164" t="s">
        <v>46</v>
      </c>
      <c r="I784" s="616"/>
      <c r="J784" s="616"/>
      <c r="K784" s="92"/>
      <c r="L784" s="92"/>
      <c r="M784" s="92"/>
      <c r="N784" s="92"/>
      <c r="O784" s="92"/>
      <c r="P784" s="92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319</v>
      </c>
      <c r="C785" s="803"/>
      <c r="D785" s="803"/>
      <c r="E785" s="803"/>
      <c r="F785" s="803"/>
      <c r="G785" s="804"/>
      <c r="H785" s="805" t="s">
        <v>46</v>
      </c>
      <c r="I785" s="806">
        <f ca="1">I800</f>
        <v>0</v>
      </c>
      <c r="J785" s="807">
        <f ca="1">J800</f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87" t="s">
        <v>17</v>
      </c>
      <c r="E786" s="888"/>
      <c r="F786" s="888"/>
      <c r="G786" s="188"/>
      <c r="H786" s="597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184</v>
      </c>
      <c r="F787" s="758"/>
      <c r="G787" s="602"/>
      <c r="H787" s="164" t="s">
        <v>12</v>
      </c>
      <c r="I787" s="616"/>
      <c r="J787" s="616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185</v>
      </c>
      <c r="F788" s="758"/>
      <c r="G788" s="602"/>
      <c r="H788" s="164" t="s">
        <v>12</v>
      </c>
      <c r="I788" s="616"/>
      <c r="J788" s="616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184</v>
      </c>
      <c r="F790" s="758"/>
      <c r="G790" s="602"/>
      <c r="H790" s="164" t="s">
        <v>12</v>
      </c>
      <c r="I790" s="616"/>
      <c r="J790" s="616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185</v>
      </c>
      <c r="F791" s="758"/>
      <c r="G791" s="602"/>
      <c r="H791" s="164" t="s">
        <v>12</v>
      </c>
      <c r="I791" s="616"/>
      <c r="J791" s="616"/>
      <c r="K791" s="92"/>
      <c r="L791" s="92">
        <f ca="1">IFERROR(__xludf.DUMMYFUNCTION("IMPORTRANGE(""https://docs.google.com/spreadsheets/d/1QqKyyYR6Q21VydFLVH3TRQUabQu_ym0Zz7PgGX0-kHA/edit?usp=sharing"",""แผน!JJ78"")"),0)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826">
        <v>0</v>
      </c>
      <c r="O792" s="497"/>
      <c r="P792" s="497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826">
        <v>0</v>
      </c>
      <c r="O793" s="497"/>
      <c r="P793" s="497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826">
        <v>0</v>
      </c>
      <c r="O794" s="497"/>
      <c r="P794" s="497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826">
        <v>0</v>
      </c>
      <c r="O795" s="497"/>
      <c r="P795" s="497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38" t="s">
        <v>38</v>
      </c>
      <c r="E799" s="760"/>
      <c r="F799" s="760"/>
      <c r="G799" s="612"/>
      <c r="H799" s="810"/>
      <c r="I799" s="183"/>
      <c r="J799" s="183"/>
      <c r="K799" s="162"/>
      <c r="L799" s="162"/>
      <c r="M799" s="162"/>
      <c r="N799" s="162"/>
      <c r="O799" s="162"/>
      <c r="P799" s="162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320</v>
      </c>
      <c r="G800" s="761"/>
      <c r="H800" s="184" t="s">
        <v>46</v>
      </c>
      <c r="I800" s="183">
        <f ca="1">IFERROR(__xludf.DUMMYFUNCTION("IMPORTRANGE(""https://docs.google.com/spreadsheets/d/1QqKyyYR6Q21VydFLVH3TRQUabQu_ym0Zz7PgGX0-kHA/edit?usp=sharing"",""แผน!JN78"")"),0)</f>
        <v>0</v>
      </c>
      <c r="J800" s="183">
        <f ca="1">IFERROR(__xludf.DUMMYFUNCTION("IMPORTRANGE(""https://docs.google.com/spreadsheets/d/1MaWodYyGHDf7siQLGxnXhG4mBNTNIuy296niS2xXulU/edit?usp=sharing"",""RTK!H78"")"),0)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IFERROR(__xludf.DUMMYFUNCTION("IMPORTRANGE(""https://docs.google.com/spreadsheets/d/1MaWodYyGHDf7siQLGxnXhG4mBNTNIuy296niS2xXulU/edit?usp=sharing"",""RTK!I78"")"),0)</f>
        <v>0</v>
      </c>
      <c r="K801" s="497"/>
      <c r="L801" s="497"/>
      <c r="M801" s="497"/>
      <c r="N801" s="497"/>
      <c r="O801" s="162"/>
      <c r="P801" s="162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321</v>
      </c>
      <c r="G802" s="365"/>
      <c r="H802" s="652" t="s">
        <v>46</v>
      </c>
      <c r="I802" s="165"/>
      <c r="J802" s="616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5"/>
      <c r="H803" s="652" t="s">
        <v>34</v>
      </c>
      <c r="I803" s="165"/>
      <c r="J803" s="616">
        <v>0</v>
      </c>
      <c r="K803" s="166"/>
      <c r="L803" s="166"/>
      <c r="M803" s="166"/>
      <c r="N803" s="166"/>
      <c r="O803" s="166"/>
      <c r="P803" s="166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322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92" t="s">
        <v>17</v>
      </c>
      <c r="E805" s="888"/>
      <c r="F805" s="888"/>
      <c r="G805" s="602"/>
      <c r="H805" s="645" t="s">
        <v>12</v>
      </c>
      <c r="I805" s="616"/>
      <c r="J805" s="616"/>
      <c r="K805" s="92"/>
      <c r="L805" s="646">
        <f>L806+L807</f>
        <v>0</v>
      </c>
      <c r="M805" s="646">
        <f>M806+M807</f>
        <v>0</v>
      </c>
      <c r="N805" s="646">
        <f>N806+N807</f>
        <v>0</v>
      </c>
      <c r="O805" s="646">
        <f t="shared" ref="O805:O810" si="110">IF(L805&gt;0,N805*100/L805,0)</f>
        <v>0</v>
      </c>
      <c r="P805" s="646">
        <f t="shared" ref="P805:P810" si="111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184</v>
      </c>
      <c r="F806" s="758"/>
      <c r="G806" s="602"/>
      <c r="H806" s="164" t="s">
        <v>12</v>
      </c>
      <c r="I806" s="616"/>
      <c r="J806" s="616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185</v>
      </c>
      <c r="F807" s="758"/>
      <c r="G807" s="602"/>
      <c r="H807" s="164" t="s">
        <v>12</v>
      </c>
      <c r="I807" s="616"/>
      <c r="J807" s="616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912" t="s">
        <v>20</v>
      </c>
      <c r="E808" s="888"/>
      <c r="F808" s="888"/>
      <c r="G808" s="602"/>
      <c r="H808" s="645" t="s">
        <v>12</v>
      </c>
      <c r="I808" s="165"/>
      <c r="J808" s="165"/>
      <c r="K808" s="166"/>
      <c r="L808" s="646">
        <f>L809+L810</f>
        <v>0</v>
      </c>
      <c r="M808" s="646">
        <f>M809+M810</f>
        <v>0</v>
      </c>
      <c r="N808" s="646">
        <f>N809+N810</f>
        <v>0</v>
      </c>
      <c r="O808" s="646">
        <f t="shared" si="110"/>
        <v>0</v>
      </c>
      <c r="P808" s="646">
        <f t="shared" si="111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184</v>
      </c>
      <c r="F809" s="758"/>
      <c r="G809" s="602"/>
      <c r="H809" s="164" t="s">
        <v>12</v>
      </c>
      <c r="I809" s="616"/>
      <c r="J809" s="616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185</v>
      </c>
      <c r="F810" s="758"/>
      <c r="G810" s="602"/>
      <c r="H810" s="164" t="s">
        <v>12</v>
      </c>
      <c r="I810" s="616"/>
      <c r="J810" s="616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186</v>
      </c>
      <c r="G811" s="602"/>
      <c r="H811" s="164" t="s">
        <v>12</v>
      </c>
      <c r="I811" s="616"/>
      <c r="J811" s="616"/>
      <c r="K811" s="92"/>
      <c r="L811" s="92"/>
      <c r="M811" s="92"/>
      <c r="N811" s="92"/>
      <c r="O811" s="92"/>
      <c r="P811" s="92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187</v>
      </c>
      <c r="G812" s="602"/>
      <c r="H812" s="164" t="s">
        <v>12</v>
      </c>
      <c r="I812" s="616"/>
      <c r="J812" s="616"/>
      <c r="K812" s="92"/>
      <c r="L812" s="92"/>
      <c r="M812" s="92"/>
      <c r="N812" s="92"/>
      <c r="O812" s="92"/>
      <c r="P812" s="92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188</v>
      </c>
      <c r="G813" s="602"/>
      <c r="H813" s="164" t="s">
        <v>12</v>
      </c>
      <c r="I813" s="616"/>
      <c r="J813" s="616"/>
      <c r="K813" s="92"/>
      <c r="L813" s="92"/>
      <c r="M813" s="92"/>
      <c r="N813" s="92"/>
      <c r="O813" s="92"/>
      <c r="P813" s="92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189</v>
      </c>
      <c r="G814" s="602"/>
      <c r="H814" s="164" t="s">
        <v>12</v>
      </c>
      <c r="I814" s="616"/>
      <c r="J814" s="616"/>
      <c r="K814" s="92"/>
      <c r="L814" s="92"/>
      <c r="M814" s="92"/>
      <c r="N814" s="92"/>
      <c r="O814" s="92"/>
      <c r="P814" s="92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912" t="s">
        <v>21</v>
      </c>
      <c r="E815" s="888"/>
      <c r="F815" s="888"/>
      <c r="G815" s="602"/>
      <c r="H815" s="782" t="s">
        <v>12</v>
      </c>
      <c r="I815" s="165"/>
      <c r="J815" s="165"/>
      <c r="K815" s="166"/>
      <c r="L815" s="646">
        <f>L816+L817</f>
        <v>0</v>
      </c>
      <c r="M815" s="646">
        <f>M816+M817</f>
        <v>0</v>
      </c>
      <c r="N815" s="646">
        <f>N816+N817</f>
        <v>0</v>
      </c>
      <c r="O815" s="646">
        <f>IF(L815&gt;0,N815*100/L815,0)</f>
        <v>0</v>
      </c>
      <c r="P815" s="646">
        <f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37" t="s">
        <v>38</v>
      </c>
      <c r="E818" s="650"/>
      <c r="F818" s="650"/>
      <c r="G818" s="651"/>
      <c r="H818" s="365"/>
      <c r="I818" s="165"/>
      <c r="J818" s="165"/>
      <c r="K818" s="166"/>
      <c r="L818" s="166"/>
      <c r="M818" s="166"/>
      <c r="N818" s="166"/>
      <c r="O818" s="166"/>
      <c r="P818" s="166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323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36" t="s">
        <v>329</v>
      </c>
      <c r="B820" s="834"/>
      <c r="C820" s="834"/>
      <c r="D820" s="835"/>
      <c r="E820" s="834"/>
      <c r="F820" s="834"/>
      <c r="G820" s="833"/>
      <c r="H820" s="832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1"/>
      <c r="J820" s="831"/>
      <c r="K820" s="830"/>
      <c r="L820" s="830"/>
      <c r="M820" s="830"/>
      <c r="N820" s="830"/>
      <c r="O820" s="830"/>
      <c r="P820" s="83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325</v>
      </c>
      <c r="C821" s="762"/>
      <c r="D821" s="574"/>
      <c r="E821" s="762"/>
      <c r="F821" s="762"/>
      <c r="G821" s="188"/>
      <c r="H821" s="622" t="s">
        <v>12</v>
      </c>
      <c r="I821" s="269">
        <f ca="1">IFERROR(__xludf.DUMMYFUNCTION("IMPORTRANGE(""https://docs.google.com/spreadsheets/d/19vJNZY_5yjcGF2XGBMNZRCAIB0Kwfpjp8YEOfu-bneM/edit?usp=sharing"",""งานกองทุน!D78"")"),2098994.56)</f>
        <v>2098994.56</v>
      </c>
      <c r="J821" s="269">
        <f ca="1">IFERROR(__xludf.DUMMYFUNCTION("IMPORTRANGE(""https://docs.google.com/spreadsheets/d/19vJNZY_5yjcGF2XGBMNZRCAIB0Kwfpjp8YEOfu-bneM/edit?usp=sharing"",""งานกองทุน!F78"")"),1919517.19)</f>
        <v>1919517.19</v>
      </c>
      <c r="K821" s="497">
        <f t="shared" ref="K821:K828" ca="1" si="113">IF(I821&gt;0,J821*100/I821,0)</f>
        <v>91.449364690111437</v>
      </c>
      <c r="L821" s="497"/>
      <c r="M821" s="497"/>
      <c r="N821" s="497"/>
      <c r="O821" s="497"/>
      <c r="P821" s="497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8"/>
      <c r="H822" s="622" t="s">
        <v>35</v>
      </c>
      <c r="I822" s="269">
        <f ca="1">IFERROR(__xludf.DUMMYFUNCTION("IMPORTRANGE(""https://docs.google.com/spreadsheets/d/19vJNZY_5yjcGF2XGBMNZRCAIB0Kwfpjp8YEOfu-bneM/edit?usp=sharing"",""งานกองทุน!C78"")"),137)</f>
        <v>137</v>
      </c>
      <c r="J822" s="269">
        <f ca="1">IFERROR(__xludf.DUMMYFUNCTION("IMPORTRANGE(""https://docs.google.com/spreadsheets/d/19vJNZY_5yjcGF2XGBMNZRCAIB0Kwfpjp8YEOfu-bneM/edit?usp=sharing"",""งานกองทุน!E78"")"),134)</f>
        <v>134</v>
      </c>
      <c r="K822" s="497">
        <f t="shared" ca="1" si="113"/>
        <v>97.810218978102185</v>
      </c>
      <c r="L822" s="497"/>
      <c r="M822" s="497"/>
      <c r="N822" s="497"/>
      <c r="O822" s="497"/>
      <c r="P822" s="497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326</v>
      </c>
      <c r="C823" s="762"/>
      <c r="D823" s="574"/>
      <c r="E823" s="762"/>
      <c r="F823" s="762"/>
      <c r="G823" s="188"/>
      <c r="H823" s="622" t="s">
        <v>12</v>
      </c>
      <c r="I823" s="269">
        <f ca="1">IFERROR(__xludf.DUMMYFUNCTION("IMPORTRANGE(""https://docs.google.com/spreadsheets/d/19vJNZY_5yjcGF2XGBMNZRCAIB0Kwfpjp8YEOfu-bneM/edit?usp=sharing"",""งานกองทุน!I78"")"),2789764.82)</f>
        <v>2789764.82</v>
      </c>
      <c r="J823" s="269">
        <f ca="1">IFERROR(__xludf.DUMMYFUNCTION("IMPORTRANGE(""https://docs.google.com/spreadsheets/d/19vJNZY_5yjcGF2XGBMNZRCAIB0Kwfpjp8YEOfu-bneM/edit?usp=sharing"",""งานกองทุน!K78"")"),1212542.5)</f>
        <v>1212542.5</v>
      </c>
      <c r="K823" s="497">
        <f t="shared" ca="1" si="113"/>
        <v>43.463968407200724</v>
      </c>
      <c r="L823" s="497"/>
      <c r="M823" s="497"/>
      <c r="N823" s="497"/>
      <c r="O823" s="497"/>
      <c r="P823" s="497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8"/>
      <c r="H824" s="622" t="s">
        <v>35</v>
      </c>
      <c r="I824" s="269">
        <f ca="1">IFERROR(__xludf.DUMMYFUNCTION("IMPORTRANGE(""https://docs.google.com/spreadsheets/d/19vJNZY_5yjcGF2XGBMNZRCAIB0Kwfpjp8YEOfu-bneM/edit?usp=sharing"",""งานกองทุน!H78"")"),135)</f>
        <v>135</v>
      </c>
      <c r="J824" s="269">
        <f ca="1">IFERROR(__xludf.DUMMYFUNCTION("IMPORTRANGE(""https://docs.google.com/spreadsheets/d/19vJNZY_5yjcGF2XGBMNZRCAIB0Kwfpjp8YEOfu-bneM/edit?usp=sharing"",""งานกองทุน!J78"")"),116)</f>
        <v>116</v>
      </c>
      <c r="K824" s="497">
        <f t="shared" ca="1" si="113"/>
        <v>85.925925925925924</v>
      </c>
      <c r="L824" s="497"/>
      <c r="M824" s="497"/>
      <c r="N824" s="497"/>
      <c r="O824" s="497"/>
      <c r="P824" s="497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327</v>
      </c>
      <c r="C825" s="762"/>
      <c r="D825" s="574"/>
      <c r="E825" s="762"/>
      <c r="F825" s="762"/>
      <c r="G825" s="188"/>
      <c r="H825" s="622" t="s">
        <v>12</v>
      </c>
      <c r="I825" s="269">
        <f ca="1">IFERROR(__xludf.DUMMYFUNCTION("IMPORTRANGE(""https://docs.google.com/spreadsheets/d/19vJNZY_5yjcGF2XGBMNZRCAIB0Kwfpjp8YEOfu-bneM/edit?usp=sharing"",""งานกองทุน!N78"")"),0)</f>
        <v>0</v>
      </c>
      <c r="J825" s="269">
        <f ca="1">IFERROR(__xludf.DUMMYFUNCTION("IMPORTRANGE(""https://docs.google.com/spreadsheets/d/19vJNZY_5yjcGF2XGBMNZRCAIB0Kwfpjp8YEOfu-bneM/edit?usp=sharing"",""งานกองทุน!P78"")"),0)</f>
        <v>0</v>
      </c>
      <c r="K825" s="497">
        <f t="shared" ca="1" si="113"/>
        <v>0</v>
      </c>
      <c r="L825" s="497"/>
      <c r="M825" s="497"/>
      <c r="N825" s="497"/>
      <c r="O825" s="497"/>
      <c r="P825" s="497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8"/>
      <c r="H826" s="622" t="s">
        <v>35</v>
      </c>
      <c r="I826" s="269">
        <f ca="1">IFERROR(__xludf.DUMMYFUNCTION("IMPORTRANGE(""https://docs.google.com/spreadsheets/d/19vJNZY_5yjcGF2XGBMNZRCAIB0Kwfpjp8YEOfu-bneM/edit?usp=sharing"",""งานกองทุน!M78"")"),0)</f>
        <v>0</v>
      </c>
      <c r="J826" s="269">
        <f ca="1">IFERROR(__xludf.DUMMYFUNCTION("IMPORTRANGE(""https://docs.google.com/spreadsheets/d/19vJNZY_5yjcGF2XGBMNZRCAIB0Kwfpjp8YEOfu-bneM/edit?usp=sharing"",""งานกองทุน!O78"")"),0)</f>
        <v>0</v>
      </c>
      <c r="K826" s="497">
        <f t="shared" ca="1" si="113"/>
        <v>0</v>
      </c>
      <c r="L826" s="497"/>
      <c r="M826" s="497"/>
      <c r="N826" s="497"/>
      <c r="O826" s="497"/>
      <c r="P826" s="497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328</v>
      </c>
      <c r="C827" s="762"/>
      <c r="D827" s="574"/>
      <c r="E827" s="762"/>
      <c r="F827" s="762"/>
      <c r="G827" s="188"/>
      <c r="H827" s="622" t="s">
        <v>12</v>
      </c>
      <c r="I827" s="269">
        <f ca="1">IFERROR(__xludf.DUMMYFUNCTION("IMPORTRANGE(""https://docs.google.com/spreadsheets/d/19vJNZY_5yjcGF2XGBMNZRCAIB0Kwfpjp8YEOfu-bneM/edit?usp=sharing"",""งานกองทุน!S78"")"),2280000)</f>
        <v>2280000</v>
      </c>
      <c r="J827" s="269">
        <f ca="1">IFERROR(__xludf.DUMMYFUNCTION("IMPORTRANGE(""https://docs.google.com/spreadsheets/d/19vJNZY_5yjcGF2XGBMNZRCAIB0Kwfpjp8YEOfu-bneM/edit?usp=sharing"",""งานกองทุน!U78"")"),2420000)</f>
        <v>2420000</v>
      </c>
      <c r="K827" s="497">
        <f t="shared" ca="1" si="113"/>
        <v>106.14035087719299</v>
      </c>
      <c r="L827" s="497"/>
      <c r="M827" s="497"/>
      <c r="N827" s="497"/>
      <c r="O827" s="497"/>
      <c r="P827" s="497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827"/>
      <c r="B828" s="748"/>
      <c r="C828" s="748"/>
      <c r="D828" s="747"/>
      <c r="E828" s="748"/>
      <c r="F828" s="748"/>
      <c r="G828" s="828"/>
      <c r="H828" s="829" t="s">
        <v>35</v>
      </c>
      <c r="I828" s="505">
        <f ca="1">IFERROR(__xludf.DUMMYFUNCTION("IMPORTRANGE(""https://docs.google.com/spreadsheets/d/19vJNZY_5yjcGF2XGBMNZRCAIB0Kwfpjp8YEOfu-bneM/edit?usp=sharing"",""งานกองทุน!R78"")"),91)</f>
        <v>91</v>
      </c>
      <c r="J828" s="505">
        <f ca="1">IFERROR(__xludf.DUMMYFUNCTION("IMPORTRANGE(""https://docs.google.com/spreadsheets/d/19vJNZY_5yjcGF2XGBMNZRCAIB0Kwfpjp8YEOfu-bneM/edit?usp=sharing"",""งานกองทุน!T78"")"),96)</f>
        <v>96</v>
      </c>
      <c r="K828" s="506">
        <f t="shared" ca="1" si="113"/>
        <v>105.49450549450549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 gridLines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9775E-FD34-4691-B8D3-E85D9E1B86B6}">
  <sheetPr>
    <outlinePr summaryBelow="0" summaryRight="0"/>
    <pageSetUpPr fitToPage="1"/>
  </sheetPr>
  <dimension ref="A1:Z828"/>
  <sheetViews>
    <sheetView showGridLines="0" view="pageBreakPreview" zoomScale="50" zoomScaleNormal="10" zoomScaleSheetLayoutView="50" workbookViewId="0">
      <selection activeCell="X18" sqref="X18:X2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5.85546875" bestFit="1" customWidth="1"/>
    <col min="10" max="10" width="14.7109375" bestFit="1" customWidth="1"/>
    <col min="11" max="11" width="13" bestFit="1" customWidth="1"/>
    <col min="12" max="14" width="22.140625" bestFit="1" customWidth="1"/>
    <col min="15" max="15" width="20.140625" bestFit="1" customWidth="1"/>
    <col min="16" max="16" width="22" bestFit="1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  <c r="Q1" s="873"/>
    </row>
    <row r="2" spans="1:26" ht="19.5">
      <c r="A2" s="901" t="s">
        <v>341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354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4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2634754</v>
      </c>
      <c r="M8" s="21">
        <f ca="1">M9+M10</f>
        <v>3211912</v>
      </c>
      <c r="N8" s="21">
        <f ca="1">N9+N10</f>
        <v>3211912</v>
      </c>
      <c r="O8" s="21">
        <f t="shared" ref="O8:O16" ca="1" si="0">IF(L8&gt;0,N8*100/L8,0)</f>
        <v>121.90557448627082</v>
      </c>
      <c r="P8" s="21">
        <f t="shared" ref="P8:P16" ca="1" si="1">IF(M8&gt;0,N8*100/M8,0)</f>
        <v>100</v>
      </c>
      <c r="Q8" s="22"/>
      <c r="R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2634754</v>
      </c>
      <c r="M10" s="29">
        <f t="shared" ca="1" si="2"/>
        <v>3211912</v>
      </c>
      <c r="N10" s="29">
        <f t="shared" ca="1" si="2"/>
        <v>3211912</v>
      </c>
      <c r="O10" s="29">
        <f t="shared" ca="1" si="0"/>
        <v>121.90557448627082</v>
      </c>
      <c r="P10" s="29">
        <f t="shared" ca="1" si="1"/>
        <v>100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22" t="s">
        <v>12</v>
      </c>
      <c r="I11" s="269"/>
      <c r="J11" s="269"/>
      <c r="K11" s="497"/>
      <c r="L11" s="497">
        <f ca="1">L12+L13</f>
        <v>2543954</v>
      </c>
      <c r="M11" s="497">
        <f ca="1">M12+M13</f>
        <v>3121112</v>
      </c>
      <c r="N11" s="497">
        <f ca="1">N12+N13</f>
        <v>3121112</v>
      </c>
      <c r="O11" s="497">
        <f t="shared" ca="1" si="0"/>
        <v>122.68743853072814</v>
      </c>
      <c r="P11" s="497">
        <f t="shared" ca="1" si="1"/>
        <v>100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6"/>
      <c r="J12" s="616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6"/>
      <c r="J13" s="616"/>
      <c r="K13" s="92"/>
      <c r="L13" s="92">
        <f t="shared" ca="1" si="3"/>
        <v>2543954</v>
      </c>
      <c r="M13" s="92">
        <f t="shared" ca="1" si="3"/>
        <v>3121112</v>
      </c>
      <c r="N13" s="92">
        <f t="shared" ca="1" si="3"/>
        <v>3121112</v>
      </c>
      <c r="O13" s="92">
        <f t="shared" ca="1" si="0"/>
        <v>122.68743853072814</v>
      </c>
      <c r="P13" s="92">
        <f t="shared" ca="1" si="1"/>
        <v>100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22" t="s">
        <v>12</v>
      </c>
      <c r="I14" s="269"/>
      <c r="J14" s="269"/>
      <c r="K14" s="497"/>
      <c r="L14" s="497">
        <f ca="1">L15+L16</f>
        <v>90800</v>
      </c>
      <c r="M14" s="497">
        <f ca="1">M15+M16</f>
        <v>90800</v>
      </c>
      <c r="N14" s="497">
        <f ca="1">N15+N16</f>
        <v>90800</v>
      </c>
      <c r="O14" s="497">
        <f t="shared" ca="1" si="0"/>
        <v>100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6"/>
      <c r="J15" s="616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90800</v>
      </c>
      <c r="M16" s="51">
        <f t="shared" ca="1" si="4"/>
        <v>90800</v>
      </c>
      <c r="N16" s="51">
        <f t="shared" ca="1" si="4"/>
        <v>90800</v>
      </c>
      <c r="O16" s="51">
        <f t="shared" ca="1" si="0"/>
        <v>100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1945970</v>
      </c>
      <c r="M18" s="21">
        <f ca="1">M19+M20</f>
        <v>2558162</v>
      </c>
      <c r="N18" s="21">
        <f ca="1">N19+N20</f>
        <v>2558162</v>
      </c>
      <c r="O18" s="21">
        <f t="shared" ref="O18:O26" ca="1" si="5">IF(L18&gt;0,N18*100/L18,0)</f>
        <v>131.45947779256616</v>
      </c>
      <c r="P18" s="21">
        <f t="shared" ref="P18:P26" ca="1" si="6">IF(M18&gt;0,N18*100/M18,0)</f>
        <v>100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1945970</v>
      </c>
      <c r="M20" s="29">
        <f t="shared" ca="1" si="7"/>
        <v>2558162</v>
      </c>
      <c r="N20" s="29">
        <f t="shared" ca="1" si="7"/>
        <v>2558162</v>
      </c>
      <c r="O20" s="29">
        <f t="shared" ca="1" si="5"/>
        <v>131.45947779256616</v>
      </c>
      <c r="P20" s="29">
        <f t="shared" ca="1" si="6"/>
        <v>100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22" t="s">
        <v>12</v>
      </c>
      <c r="I21" s="269"/>
      <c r="J21" s="269"/>
      <c r="K21" s="497"/>
      <c r="L21" s="497">
        <f ca="1">L22+L23</f>
        <v>1855170</v>
      </c>
      <c r="M21" s="497">
        <f ca="1">M22+M23</f>
        <v>2467362</v>
      </c>
      <c r="N21" s="497">
        <f ca="1">N22+N23</f>
        <v>2467362</v>
      </c>
      <c r="O21" s="497">
        <f t="shared" ca="1" si="5"/>
        <v>132.99923996183639</v>
      </c>
      <c r="P21" s="497">
        <f t="shared" ca="1" si="6"/>
        <v>100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6"/>
      <c r="J22" s="616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6"/>
      <c r="J23" s="616"/>
      <c r="K23" s="92"/>
      <c r="L23" s="92">
        <f t="shared" ca="1" si="8"/>
        <v>1855170</v>
      </c>
      <c r="M23" s="92">
        <f t="shared" ca="1" si="8"/>
        <v>2467362</v>
      </c>
      <c r="N23" s="92">
        <f t="shared" ca="1" si="8"/>
        <v>2467362</v>
      </c>
      <c r="O23" s="92">
        <f t="shared" ca="1" si="5"/>
        <v>132.99923996183639</v>
      </c>
      <c r="P23" s="92">
        <f t="shared" ca="1" si="6"/>
        <v>100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22" t="s">
        <v>12</v>
      </c>
      <c r="I24" s="269"/>
      <c r="J24" s="269"/>
      <c r="K24" s="497"/>
      <c r="L24" s="497">
        <f ca="1">L25+L26</f>
        <v>90800</v>
      </c>
      <c r="M24" s="497">
        <f ca="1">M25+M26</f>
        <v>90800</v>
      </c>
      <c r="N24" s="497">
        <f ca="1">N25+N26</f>
        <v>90800</v>
      </c>
      <c r="O24" s="497">
        <f t="shared" ca="1" si="5"/>
        <v>100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6"/>
      <c r="J25" s="616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90800</v>
      </c>
      <c r="M26" s="51">
        <f t="shared" ca="1" si="9"/>
        <v>90800</v>
      </c>
      <c r="N26" s="51">
        <f t="shared" ca="1" si="9"/>
        <v>90800</v>
      </c>
      <c r="O26" s="51">
        <f t="shared" ca="1" si="5"/>
        <v>100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688784</v>
      </c>
      <c r="M28" s="21">
        <f ca="1">M29+M30</f>
        <v>653750</v>
      </c>
      <c r="N28" s="21">
        <f>N29+N30</f>
        <v>653750</v>
      </c>
      <c r="O28" s="21">
        <f t="shared" ref="O28:O37" ca="1" si="10">IF(L28&gt;0,N28*100/L28,0)</f>
        <v>94.913644916258221</v>
      </c>
      <c r="P28" s="21">
        <f t="shared" ref="P28:P37" ca="1" si="11">IF(M28&gt;0,N28*100/M28,0)</f>
        <v>100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688784</v>
      </c>
      <c r="M30" s="29">
        <f t="shared" ca="1" si="12"/>
        <v>653750</v>
      </c>
      <c r="N30" s="29">
        <f t="shared" si="12"/>
        <v>653750</v>
      </c>
      <c r="O30" s="29">
        <f t="shared" ca="1" si="10"/>
        <v>94.913644916258221</v>
      </c>
      <c r="P30" s="29">
        <f t="shared" ca="1" si="11"/>
        <v>100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22" t="s">
        <v>12</v>
      </c>
      <c r="I31" s="269"/>
      <c r="J31" s="269"/>
      <c r="K31" s="497"/>
      <c r="L31" s="497">
        <f ca="1">L32+L33</f>
        <v>688784</v>
      </c>
      <c r="M31" s="497">
        <f ca="1">M32+M33</f>
        <v>653750</v>
      </c>
      <c r="N31" s="497">
        <f>N32+N33</f>
        <v>653750</v>
      </c>
      <c r="O31" s="497">
        <f t="shared" ca="1" si="10"/>
        <v>94.913644916258221</v>
      </c>
      <c r="P31" s="497">
        <f t="shared" ca="1" si="11"/>
        <v>100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6"/>
      <c r="J32" s="616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6"/>
      <c r="J33" s="616"/>
      <c r="K33" s="92"/>
      <c r="L33" s="92">
        <f t="shared" ca="1" si="13"/>
        <v>688784</v>
      </c>
      <c r="M33" s="92">
        <f t="shared" ca="1" si="13"/>
        <v>653750</v>
      </c>
      <c r="N33" s="92">
        <f t="shared" si="13"/>
        <v>653750</v>
      </c>
      <c r="O33" s="92">
        <f t="shared" ca="1" si="10"/>
        <v>94.913644916258221</v>
      </c>
      <c r="P33" s="92">
        <f t="shared" ca="1" si="11"/>
        <v>100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22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6"/>
      <c r="J35" s="616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868" t="s">
        <v>24</v>
      </c>
      <c r="B37" s="867"/>
      <c r="C37" s="867"/>
      <c r="D37" s="867"/>
      <c r="E37" s="867"/>
      <c r="F37" s="867"/>
      <c r="G37" s="866"/>
      <c r="H37" s="865"/>
      <c r="I37" s="864"/>
      <c r="J37" s="864"/>
      <c r="K37" s="863"/>
      <c r="L37" s="862">
        <f ca="1">L41+L53+L66+L88+L119+L132+L149+L165+L181+L261+L277+L298+L315+L328+L345+L389+L402</f>
        <v>1945970</v>
      </c>
      <c r="M37" s="862">
        <f ca="1">M41+M53+M66+M88+M119+M132+M149+M165+M181+M261+M277+M298+M315+M328+M345+M389+M402</f>
        <v>2558162</v>
      </c>
      <c r="N37" s="862">
        <f ca="1">N41+N53+N66+N88+N119+N132+N149+N165+N181+N261+N277+N298+N315+N328+N345+N389+N402</f>
        <v>2558162</v>
      </c>
      <c r="O37" s="862">
        <f t="shared" ca="1" si="10"/>
        <v>131.45947779256616</v>
      </c>
      <c r="P37" s="862">
        <f t="shared" ca="1" si="11"/>
        <v>100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9" t="s">
        <v>27</v>
      </c>
      <c r="C40" s="888"/>
      <c r="D40" s="888"/>
      <c r="E40" s="888"/>
      <c r="F40" s="888"/>
      <c r="G40" s="894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1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273150</v>
      </c>
      <c r="M41" s="84">
        <f ca="1">M42+M43</f>
        <v>485452</v>
      </c>
      <c r="N41" s="84">
        <f ca="1">N42+N43</f>
        <v>485452</v>
      </c>
      <c r="O41" s="84">
        <f t="shared" ref="O41:O49" ca="1" si="15">IF(L41&gt;0,N41*100/L41,0)</f>
        <v>177.72359509427054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273150</v>
      </c>
      <c r="M43" s="91">
        <f t="shared" ca="1" si="17"/>
        <v>485452</v>
      </c>
      <c r="N43" s="91">
        <f t="shared" ca="1" si="17"/>
        <v>485452</v>
      </c>
      <c r="O43" s="91">
        <f t="shared" ca="1" si="15"/>
        <v>177.72359509427054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22" t="s">
        <v>12</v>
      </c>
      <c r="I44" s="269"/>
      <c r="J44" s="269"/>
      <c r="K44" s="497"/>
      <c r="L44" s="497">
        <f ca="1">L45+L46</f>
        <v>273150</v>
      </c>
      <c r="M44" s="497">
        <f ca="1">M45+M46</f>
        <v>485452</v>
      </c>
      <c r="N44" s="497">
        <f ca="1">N45+N46</f>
        <v>485452</v>
      </c>
      <c r="O44" s="497">
        <f t="shared" ca="1" si="15"/>
        <v>177.72359509427054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6"/>
      <c r="J45" s="616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6"/>
      <c r="J46" s="616"/>
      <c r="K46" s="92"/>
      <c r="L46" s="92">
        <f ca="1">IFERROR(__xludf.DUMMYFUNCTION("IMPORTRANGE(""https://docs.google.com/spreadsheets/d/1MeEWN-I1oV_STSDYn1IFDPWt_1FKiwhDph83XaGc0o0/edit?usp=sharing"",""งบพรบ!M79"")"),273150)</f>
        <v>273150</v>
      </c>
      <c r="M46" s="92">
        <f ca="1">IFERROR(__xludf.DUMMYFUNCTION("IMPORTRANGE(""https://docs.google.com/spreadsheets/d/1MeEWN-I1oV_STSDYn1IFDPWt_1FKiwhDph83XaGc0o0/edit?usp=sharing"",""งบพรบ!R79"")"),485452)</f>
        <v>485452</v>
      </c>
      <c r="N46" s="92">
        <f ca="1">IFERROR(__xludf.DUMMYFUNCTION("IMPORTRANGE(""https://docs.google.com/spreadsheets/d/1MeEWN-I1oV_STSDYn1IFDPWt_1FKiwhDph83XaGc0o0/edit?usp=sharing"",""งบพรบ!T79"")"),485452)</f>
        <v>485452</v>
      </c>
      <c r="O46" s="92">
        <f t="shared" ca="1" si="15"/>
        <v>177.72359509427054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22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6"/>
      <c r="J48" s="616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IFERROR(__xludf.DUMMYFUNCTION("IMPORTRANGE(""https://docs.google.com/spreadsheets/d/1MeEWN-I1oV_STSDYn1IFDPWt_1FKiwhDph83XaGc0o0/edit?usp=sharing"",""งบพรบ!P79"")"),0)</f>
        <v>0</v>
      </c>
      <c r="M49" s="51">
        <f ca="1">IFERROR(__xludf.DUMMYFUNCTION("IMPORTRANGE(""https://docs.google.com/spreadsheets/d/1MeEWN-I1oV_STSDYn1IFDPWt_1FKiwhDph83XaGc0o0/edit?usp=sharing"",""งบพรบ!S79"")"),0)</f>
        <v>0</v>
      </c>
      <c r="N49" s="51">
        <f ca="1">IFERROR(__xludf.DUMMYFUNCTION("IMPORTRANGE(""https://docs.google.com/spreadsheets/d/1MeEWN-I1oV_STSDYn1IFDPWt_1FKiwhDph83XaGc0o0/edit?usp=sharing"",""งบพรบ!U79"")"),0)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3" t="s">
        <v>29</v>
      </c>
      <c r="C51" s="888"/>
      <c r="D51" s="888"/>
      <c r="E51" s="888"/>
      <c r="F51" s="888"/>
      <c r="G51" s="894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559000</v>
      </c>
      <c r="M53" s="115">
        <f ca="1">M54+M55</f>
        <v>589000</v>
      </c>
      <c r="N53" s="115">
        <f ca="1">N54+N55</f>
        <v>589000</v>
      </c>
      <c r="O53" s="115">
        <f t="shared" ref="O53:O61" ca="1" si="18">IF(L53&gt;0,N53*100/L53,0)</f>
        <v>105.36672629695886</v>
      </c>
      <c r="P53" s="115">
        <f t="shared" ref="P53:P61" ca="1" si="19">IF(M53&gt;0,N53*100/M53,0)</f>
        <v>100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559000</v>
      </c>
      <c r="M55" s="122">
        <f t="shared" ca="1" si="20"/>
        <v>589000</v>
      </c>
      <c r="N55" s="122">
        <f t="shared" ca="1" si="20"/>
        <v>589000</v>
      </c>
      <c r="O55" s="122">
        <f t="shared" ca="1" si="18"/>
        <v>105.36672629695886</v>
      </c>
      <c r="P55" s="122">
        <f t="shared" ca="1" si="19"/>
        <v>100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22" t="s">
        <v>12</v>
      </c>
      <c r="I56" s="269"/>
      <c r="J56" s="269"/>
      <c r="K56" s="497"/>
      <c r="L56" s="497">
        <f ca="1">L57+L58</f>
        <v>559000</v>
      </c>
      <c r="M56" s="497">
        <f ca="1">M57+M58</f>
        <v>589000</v>
      </c>
      <c r="N56" s="497">
        <f ca="1">N57+N58</f>
        <v>589000</v>
      </c>
      <c r="O56" s="497">
        <f t="shared" ca="1" si="18"/>
        <v>105.36672629695886</v>
      </c>
      <c r="P56" s="497">
        <f t="shared" ca="1" si="19"/>
        <v>100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6"/>
      <c r="J57" s="616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6"/>
      <c r="J58" s="616"/>
      <c r="K58" s="92"/>
      <c r="L58" s="92">
        <f ca="1">IFERROR(__xludf.DUMMYFUNCTION("IMPORTRANGE(""https://docs.google.com/spreadsheets/d/1MeEWN-I1oV_STSDYn1IFDPWt_1FKiwhDph83XaGc0o0/edit?usp=sharing"",""งบพรบ!W79"")"),559000)</f>
        <v>559000</v>
      </c>
      <c r="M58" s="92">
        <f ca="1">IFERROR(__xludf.DUMMYFUNCTION("IMPORTRANGE(""https://docs.google.com/spreadsheets/d/1MeEWN-I1oV_STSDYn1IFDPWt_1FKiwhDph83XaGc0o0/edit?usp=sharing"",""งบพรบ!AB79"")"),589000)</f>
        <v>589000</v>
      </c>
      <c r="N58" s="92">
        <f ca="1">IFERROR(__xludf.DUMMYFUNCTION("IMPORTRANGE(""https://docs.google.com/spreadsheets/d/1MeEWN-I1oV_STSDYn1IFDPWt_1FKiwhDph83XaGc0o0/edit?usp=sharing"",""งบพรบ!AD79"")"),589000)</f>
        <v>589000</v>
      </c>
      <c r="O58" s="92">
        <f t="shared" ca="1" si="18"/>
        <v>105.36672629695886</v>
      </c>
      <c r="P58" s="92">
        <f t="shared" ca="1" si="19"/>
        <v>100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22" t="s">
        <v>12</v>
      </c>
      <c r="I59" s="269"/>
      <c r="J59" s="269"/>
      <c r="K59" s="497"/>
      <c r="L59" s="497">
        <f ca="1">L60+L61</f>
        <v>0</v>
      </c>
      <c r="M59" s="497">
        <f ca="1">M60+M61</f>
        <v>0</v>
      </c>
      <c r="N59" s="497">
        <f ca="1">N60+N61</f>
        <v>0</v>
      </c>
      <c r="O59" s="497">
        <f t="shared" ca="1" si="18"/>
        <v>0</v>
      </c>
      <c r="P59" s="497">
        <f t="shared" ca="1" si="19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6"/>
      <c r="J60" s="616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IFERROR(__xludf.DUMMYFUNCTION("IMPORTRANGE(""https://docs.google.com/spreadsheets/d/1MeEWN-I1oV_STSDYn1IFDPWt_1FKiwhDph83XaGc0o0/edit?usp=sharing"",""งบพรบ!Z79"")"),0)</f>
        <v>0</v>
      </c>
      <c r="M61" s="51">
        <f ca="1">IFERROR(__xludf.DUMMYFUNCTION("IMPORTRANGE(""https://docs.google.com/spreadsheets/d/1MeEWN-I1oV_STSDYn1IFDPWt_1FKiwhDph83XaGc0o0/edit?usp=sharing"",""งบพรบ!AC79"")"),0)</f>
        <v>0</v>
      </c>
      <c r="N61" s="51">
        <f ca="1">IFERROR(__xludf.DUMMYFUNCTION("IMPORTRANGE(""https://docs.google.com/spreadsheets/d/1MeEWN-I1oV_STSDYn1IFDPWt_1FKiwhDph83XaGc0o0/edit?usp=sharing"",""งบพรบ!AE79"")"),0)</f>
        <v>0</v>
      </c>
      <c r="O61" s="51">
        <f t="shared" ca="1" si="18"/>
        <v>0</v>
      </c>
      <c r="P61" s="51">
        <f t="shared" ca="1" si="19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46" t="s">
        <v>17</v>
      </c>
      <c r="E66" s="147"/>
      <c r="F66" s="147"/>
      <c r="G66" s="150"/>
      <c r="H66" s="151" t="s">
        <v>12</v>
      </c>
      <c r="I66" s="420"/>
      <c r="J66" s="420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6"/>
      <c r="J67" s="616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6"/>
      <c r="J68" s="616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IFERROR(__xludf.DUMMYFUNCTION("IMPORTRANGE(""https://docs.google.com/spreadsheets/d/1MeEWN-I1oV_STSDYn1IFDPWt_1FKiwhDph83XaGc0o0/edit?usp=sharing"",""งบพรบ!AG79"")"),0)</f>
        <v>0</v>
      </c>
      <c r="M71" s="92">
        <f ca="1">IFERROR(__xludf.DUMMYFUNCTION("IMPORTRANGE(""https://docs.google.com/spreadsheets/d/1MeEWN-I1oV_STSDYn1IFDPWt_1FKiwhDph83XaGc0o0/edit?usp=sharing"",""งบพรบ!AL79"")"),0)</f>
        <v>0</v>
      </c>
      <c r="N71" s="92">
        <f ca="1">IFERROR(__xludf.DUMMYFUNCTION("IMPORTRANGE(""https://docs.google.com/spreadsheets/d/1MeEWN-I1oV_STSDYn1IFDPWt_1FKiwhDph83XaGc0o0/edit?usp=sharing"",""งบพรบ!AN79"")"),0)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IFERROR(__xludf.DUMMYFUNCTION("IMPORTRANGE(""https://docs.google.com/spreadsheets/d/1MeEWN-I1oV_STSDYn1IFDPWt_1FKiwhDph83XaGc0o0/edit?usp=sharing"",""งบพรบ!AJ79"")"),0)</f>
        <v>0</v>
      </c>
      <c r="M74" s="92">
        <f ca="1">IFERROR(__xludf.DUMMYFUNCTION("IMPORTRANGE(""https://docs.google.com/spreadsheets/d/1MeEWN-I1oV_STSDYn1IFDPWt_1FKiwhDph83XaGc0o0/edit?usp=sharing"",""งบพรบ!AM79"")"),0)</f>
        <v>0</v>
      </c>
      <c r="N74" s="92">
        <f ca="1">IFERROR(__xludf.DUMMYFUNCTION("IMPORTRANGE(""https://docs.google.com/spreadsheets/d/1MeEWN-I1oV_STSDYn1IFDPWt_1FKiwhDph83XaGc0o0/edit?usp=sharing"",""งบพรบ!AO79"")"),0)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47" t="s">
        <v>38</v>
      </c>
      <c r="E75" s="172"/>
      <c r="F75" s="172"/>
      <c r="G75" s="173"/>
      <c r="H75" s="761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7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7" t="s">
        <v>40</v>
      </c>
      <c r="F78" s="447"/>
      <c r="G78" s="178"/>
      <c r="H78" s="763" t="s">
        <v>34</v>
      </c>
      <c r="I78" s="183">
        <f ca="1">IFERROR(__xludf.DUMMYFUNCTION("IMPORTRANGE(""https://docs.google.com/spreadsheets/d/1QqKyyYR6Q21VydFLVH3TRQUabQu_ym0Zz7PgGX0-kHA/edit?usp=sharing"",""แผน!H79"")"),0)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63" t="s">
        <v>35</v>
      </c>
      <c r="I79" s="183">
        <f ca="1">IFERROR(__xludf.DUMMYFUNCTION("IMPORTRANGE(""https://docs.google.com/spreadsheets/d/1QqKyyYR6Q21VydFLVH3TRQUabQu_ym0Zz7PgGX0-kHA/edit?usp=sharing"",""แผน!I79"")"),0)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7" t="s">
        <v>41</v>
      </c>
      <c r="F80" s="447"/>
      <c r="G80" s="178"/>
      <c r="H80" s="763" t="s">
        <v>34</v>
      </c>
      <c r="I80" s="183">
        <f ca="1">IFERROR(__xludf.DUMMYFUNCTION("IMPORTRANGE(""https://docs.google.com/spreadsheets/d/1QqKyyYR6Q21VydFLVH3TRQUabQu_ym0Zz7PgGX0-kHA/edit?usp=sharing"",""แผน!F79"")"),0)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63" t="s">
        <v>35</v>
      </c>
      <c r="I81" s="183">
        <f ca="1">IFERROR(__xludf.DUMMYFUNCTION("IMPORTRANGE(""https://docs.google.com/spreadsheets/d/1QqKyyYR6Q21VydFLVH3TRQUabQu_ym0Zz7PgGX0-kHA/edit?usp=sharing"",""แผน!G79"")"),0)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7" t="s">
        <v>42</v>
      </c>
      <c r="F82" s="447"/>
      <c r="G82" s="178"/>
      <c r="H82" s="763" t="s">
        <v>34</v>
      </c>
      <c r="I82" s="183">
        <f ca="1">IFERROR(__xludf.DUMMYFUNCTION("IMPORTRANGE(""https://docs.google.com/spreadsheets/d/1QqKyyYR6Q21VydFLVH3TRQUabQu_ym0Zz7PgGX0-kHA/edit?usp=sharing"",""แผน!D79"")"),0)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63" t="s">
        <v>35</v>
      </c>
      <c r="I83" s="183">
        <f ca="1">IFERROR(__xludf.DUMMYFUNCTION("IMPORTRANGE(""https://docs.google.com/spreadsheets/d/1QqKyyYR6Q21VydFLVH3TRQUabQu_ym0Zz7PgGX0-kHA/edit?usp=sharing"",""แผน!E79"")"),0)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7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IFERROR(__xludf.DUMMYFUNCTION("IMPORTRANGE(""https://docs.google.com/spreadsheets/d/1QqKyyYR6Q21VydFLVH3TRQUabQu_ym0Zz7PgGX0-kHA/edit?usp=sharing"",""แผน!J79"")"),0)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75</v>
      </c>
      <c r="J86" s="143">
        <f>J98</f>
        <v>75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25</v>
      </c>
      <c r="J87" s="143">
        <f>J99</f>
        <v>25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46" t="s">
        <v>17</v>
      </c>
      <c r="E88" s="147"/>
      <c r="F88" s="147"/>
      <c r="G88" s="150"/>
      <c r="H88" s="151" t="s">
        <v>12</v>
      </c>
      <c r="I88" s="420"/>
      <c r="J88" s="420"/>
      <c r="K88" s="153"/>
      <c r="L88" s="154">
        <f ca="1">L89+L90</f>
        <v>237000</v>
      </c>
      <c r="M88" s="154">
        <f ca="1">M89+M90</f>
        <v>237000</v>
      </c>
      <c r="N88" s="154">
        <f ca="1">N89+N90</f>
        <v>237000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6"/>
      <c r="J89" s="616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6"/>
      <c r="J90" s="616"/>
      <c r="K90" s="92"/>
      <c r="L90" s="92">
        <f t="shared" ca="1" si="27"/>
        <v>237000</v>
      </c>
      <c r="M90" s="92">
        <f t="shared" ca="1" si="27"/>
        <v>237000</v>
      </c>
      <c r="N90" s="92">
        <f t="shared" ca="1" si="27"/>
        <v>237000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237000</v>
      </c>
      <c r="M91" s="497">
        <f ca="1">M92+M93</f>
        <v>237000</v>
      </c>
      <c r="N91" s="497">
        <f ca="1">N92+N93</f>
        <v>237000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IFERROR(__xludf.DUMMYFUNCTION("IMPORTRANGE(""https://docs.google.com/spreadsheets/d/1MeEWN-I1oV_STSDYn1IFDPWt_1FKiwhDph83XaGc0o0/edit?usp=sharing"",""งบพรบ!AQ79"")"),237000)</f>
        <v>237000</v>
      </c>
      <c r="M93" s="92">
        <f ca="1">IFERROR(__xludf.DUMMYFUNCTION("IMPORTRANGE(""https://docs.google.com/spreadsheets/d/1MeEWN-I1oV_STSDYn1IFDPWt_1FKiwhDph83XaGc0o0/edit?usp=sharing"",""งบพรบ!AV79"")"),237000)</f>
        <v>237000</v>
      </c>
      <c r="N93" s="92">
        <f ca="1">IFERROR(__xludf.DUMMYFUNCTION("IMPORTRANGE(""https://docs.google.com/spreadsheets/d/1MeEWN-I1oV_STSDYn1IFDPWt_1FKiwhDph83XaGc0o0/edit?usp=sharing"",""งบพรบ!AX79"")"),237000)</f>
        <v>237000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IFERROR(__xludf.DUMMYFUNCTION("IMPORTRANGE(""https://docs.google.com/spreadsheets/d/1MeEWN-I1oV_STSDYn1IFDPWt_1FKiwhDph83XaGc0o0/edit?usp=sharing"",""งบพรบ!AT79"")"),0)</f>
        <v>0</v>
      </c>
      <c r="M96" s="92">
        <f ca="1">IFERROR(__xludf.DUMMYFUNCTION("IMPORTRANGE(""https://docs.google.com/spreadsheets/d/1MeEWN-I1oV_STSDYn1IFDPWt_1FKiwhDph83XaGc0o0/edit?usp=sharing"",""งบพรบ!AW79"")"),0)</f>
        <v>0</v>
      </c>
      <c r="N96" s="92">
        <f ca="1">IFERROR(__xludf.DUMMYFUNCTION("IMPORTRANGE(""https://docs.google.com/spreadsheets/d/1MeEWN-I1oV_STSDYn1IFDPWt_1FKiwhDph83XaGc0o0/edit?usp=sharing"",""งบพรบ!AY79"")"),0)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47" t="s">
        <v>38</v>
      </c>
      <c r="E97" s="172"/>
      <c r="F97" s="172"/>
      <c r="G97" s="173"/>
      <c r="H97" s="761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7" t="s">
        <v>47</v>
      </c>
      <c r="E98" s="447"/>
      <c r="F98" s="177"/>
      <c r="G98" s="178"/>
      <c r="H98" s="622" t="s">
        <v>46</v>
      </c>
      <c r="I98" s="269">
        <f ca="1">IFERROR(__xludf.DUMMYFUNCTION("IMPORTRANGE(""https://docs.google.com/spreadsheets/d/1QqKyyYR6Q21VydFLVH3TRQUabQu_ym0Zz7PgGX0-kHA/edit?usp=sharing"",""แผน!K79"")"),75)</f>
        <v>75</v>
      </c>
      <c r="J98" s="269">
        <f>J102</f>
        <v>75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7" t="s">
        <v>48</v>
      </c>
      <c r="E99" s="447"/>
      <c r="F99" s="177"/>
      <c r="G99" s="178"/>
      <c r="H99" s="622" t="s">
        <v>35</v>
      </c>
      <c r="I99" s="269">
        <f ca="1">IFERROR(__xludf.DUMMYFUNCTION("IMPORTRANGE(""https://docs.google.com/spreadsheets/d/1QqKyyYR6Q21VydFLVH3TRQUabQu_ym0Zz7PgGX0-kHA/edit?usp=sharing"",""แผน!L79"")"),25)</f>
        <v>25</v>
      </c>
      <c r="J99" s="269">
        <f>J104</f>
        <v>25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22" t="s">
        <v>49</v>
      </c>
      <c r="I100" s="269">
        <f ca="1">IFERROR(__xludf.DUMMYFUNCTION("IMPORTRANGE(""https://docs.google.com/spreadsheets/d/1QqKyyYR6Q21VydFLVH3TRQUabQu_ym0Zz7PgGX0-kHA/edit?usp=sharing"",""แผน!M79"")"),1)</f>
        <v>1</v>
      </c>
      <c r="J100" s="269">
        <f>J107+J110</f>
        <v>1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22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5" t="s">
        <v>47</v>
      </c>
      <c r="F102" s="177"/>
      <c r="G102" s="178"/>
      <c r="H102" s="622" t="s">
        <v>46</v>
      </c>
      <c r="I102" s="269">
        <f ca="1">IFERROR(__xludf.DUMMYFUNCTION("IMPORTRANGE(""https://docs.google.com/spreadsheets/d/1QqKyyYR6Q21VydFLVH3TRQUabQu_ym0Zz7PgGX0-kHA/edit?usp=sharing"",""แผน!N79"")"),75)</f>
        <v>75</v>
      </c>
      <c r="J102" s="214">
        <v>75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7" t="s">
        <v>51</v>
      </c>
      <c r="F103" s="177"/>
      <c r="G103" s="178"/>
      <c r="H103" s="622" t="s">
        <v>35</v>
      </c>
      <c r="I103" s="269">
        <f ca="1">IFERROR(__xludf.DUMMYFUNCTION("IMPORTRANGE(""https://docs.google.com/spreadsheets/d/1QqKyyYR6Q21VydFLVH3TRQUabQu_ym0Zz7PgGX0-kHA/edit?usp=sharing"",""แผน!O79"")"),25)</f>
        <v>25</v>
      </c>
      <c r="J103" s="214">
        <v>25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22" t="s">
        <v>35</v>
      </c>
      <c r="I104" s="269">
        <f ca="1">IFERROR(__xludf.DUMMYFUNCTION("IMPORTRANGE(""https://docs.google.com/spreadsheets/d/1QqKyyYR6Q21VydFLVH3TRQUabQu_ym0Zz7PgGX0-kHA/edit?usp=sharing"",""แผน!O79"")"),25)</f>
        <v>25</v>
      </c>
      <c r="J104" s="214">
        <v>25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7" t="s">
        <v>54</v>
      </c>
      <c r="F106" s="177"/>
      <c r="G106" s="178"/>
      <c r="H106" s="622" t="s">
        <v>49</v>
      </c>
      <c r="I106" s="269">
        <f ca="1">IFERROR(__xludf.DUMMYFUNCTION("IMPORTRANGE(""https://docs.google.com/spreadsheets/d/1QqKyyYR6Q21VydFLVH3TRQUabQu_ym0Zz7PgGX0-kHA/edit?usp=sharing"",""แผน!P79"")"),1)</f>
        <v>1</v>
      </c>
      <c r="J106" s="21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22" t="s">
        <v>49</v>
      </c>
      <c r="I107" s="269">
        <f ca="1">IFERROR(__xludf.DUMMYFUNCTION("IMPORTRANGE(""https://docs.google.com/spreadsheets/d/1QqKyyYR6Q21VydFLVH3TRQUabQu_ym0Zz7PgGX0-kHA/edit?usp=sharing"",""แผน!P79"")"),1)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7" t="s">
        <v>57</v>
      </c>
      <c r="F109" s="177"/>
      <c r="G109" s="178"/>
      <c r="H109" s="622" t="s">
        <v>49</v>
      </c>
      <c r="I109" s="269">
        <f ca="1">IFERROR(__xludf.DUMMYFUNCTION("IMPORTRANGE(""https://docs.google.com/spreadsheets/d/1QqKyyYR6Q21VydFLVH3TRQUabQu_ym0Zz7PgGX0-kHA/edit?usp=sharing"",""แผน!Q79"")"),0)</f>
        <v>0</v>
      </c>
      <c r="J109" s="214">
        <v>0</v>
      </c>
      <c r="K109" s="497">
        <f t="shared" ref="K109:K116" ca="1" si="28">IF(I109&gt;0,J109*100/I109,0)</f>
        <v>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22" t="s">
        <v>49</v>
      </c>
      <c r="I110" s="269">
        <f ca="1">IFERROR(__xludf.DUMMYFUNCTION("IMPORTRANGE(""https://docs.google.com/spreadsheets/d/1QqKyyYR6Q21VydFLVH3TRQUabQu_ym0Zz7PgGX0-kHA/edit?usp=sharing"",""แผน!Q79"")"),0)</f>
        <v>0</v>
      </c>
      <c r="J110" s="214">
        <v>0</v>
      </c>
      <c r="K110" s="497">
        <f t="shared" ca="1" si="28"/>
        <v>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6" t="s">
        <v>35</v>
      </c>
      <c r="I111" s="192">
        <f ca="1">IFERROR(__xludf.DUMMYFUNCTION("IMPORTRANGE(""https://docs.google.com/spreadsheets/d/1QqKyyYR6Q21VydFLVH3TRQUabQu_ym0Zz7PgGX0-kHA/edit?usp=sharing"",""แผน!R79"")"),25)</f>
        <v>25</v>
      </c>
      <c r="J111" s="680">
        <f>J114</f>
        <v>25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1</v>
      </c>
      <c r="J112" s="680">
        <f>J115+J116</f>
        <v>1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31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IFERROR(__xludf.DUMMYFUNCTION("IMPORTRANGE(""https://docs.google.com/spreadsheets/d/1QqKyyYR6Q21VydFLVH3TRQUabQu_ym0Zz7PgGX0-kHA/edit?usp=sharing"",""แผน!R79"")"),25)</f>
        <v>25</v>
      </c>
      <c r="J113" s="214">
        <v>25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7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IFERROR(__xludf.DUMMYFUNCTION("IMPORTRANGE(""https://docs.google.com/spreadsheets/d/1QqKyyYR6Q21VydFLVH3TRQUabQu_ym0Zz7PgGX0-kHA/edit?usp=sharing"",""แผน!R79"")"),25)</f>
        <v>25</v>
      </c>
      <c r="J114" s="214">
        <v>25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7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IFERROR(__xludf.DUMMYFUNCTION("IMPORTRANGE(""https://docs.google.com/spreadsheets/d/1QqKyyYR6Q21VydFLVH3TRQUabQu_ym0Zz7PgGX0-kHA/edit?usp=sharing"",""แผน!S79"")"),1)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7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IFERROR(__xludf.DUMMYFUNCTION("IMPORTRANGE(""https://docs.google.com/spreadsheets/d/1QqKyyYR6Q21VydFLVH3TRQUabQu_ym0Zz7PgGX0-kHA/edit?usp=sharing"",""แผน!T79"")"),0)</f>
        <v>0</v>
      </c>
      <c r="J116" s="214">
        <v>0</v>
      </c>
      <c r="K116" s="497">
        <f t="shared" ca="1" si="28"/>
        <v>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46" t="s">
        <v>17</v>
      </c>
      <c r="E119" s="147"/>
      <c r="F119" s="147"/>
      <c r="G119" s="150"/>
      <c r="H119" s="151" t="s">
        <v>12</v>
      </c>
      <c r="I119" s="420"/>
      <c r="J119" s="420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6"/>
      <c r="J120" s="616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6"/>
      <c r="J121" s="616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IFERROR(__xludf.DUMMYFUNCTION("IMPORTRANGE(""https://docs.google.com/spreadsheets/d/1MeEWN-I1oV_STSDYn1IFDPWt_1FKiwhDph83XaGc0o0/edit?usp=sharing"",""งบพรบ!BA79"")"),0)</f>
        <v>0</v>
      </c>
      <c r="M124" s="92">
        <f ca="1">IFERROR(__xludf.DUMMYFUNCTION("IMPORTRANGE(""https://docs.google.com/spreadsheets/d/1MeEWN-I1oV_STSDYn1IFDPWt_1FKiwhDph83XaGc0o0/edit?usp=sharing"",""งบพรบ!BF79"")"),0)</f>
        <v>0</v>
      </c>
      <c r="N124" s="92">
        <f ca="1">IFERROR(__xludf.DUMMYFUNCTION("IMPORTRANGE(""https://docs.google.com/spreadsheets/d/1MeEWN-I1oV_STSDYn1IFDPWt_1FKiwhDph83XaGc0o0/edit?usp=sharing"",""งบพรบ!BH79"")"),0)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IFERROR(__xludf.DUMMYFUNCTION("IMPORTRANGE(""https://docs.google.com/spreadsheets/d/1MeEWN-I1oV_STSDYn1IFDPWt_1FKiwhDph83XaGc0o0/edit?usp=sharing"",""งบพรบ!BD79"")"),0)</f>
        <v>0</v>
      </c>
      <c r="M127" s="92">
        <f ca="1">IFERROR(__xludf.DUMMYFUNCTION("IMPORTRANGE(""https://docs.google.com/spreadsheets/d/1MeEWN-I1oV_STSDYn1IFDPWt_1FKiwhDph83XaGc0o0/edit?usp=sharing"",""งบพรบ!BG79"")"),0)</f>
        <v>0</v>
      </c>
      <c r="N127" s="92">
        <f ca="1">IFERROR(__xludf.DUMMYFUNCTION("IMPORTRANGE(""https://docs.google.com/spreadsheets/d/1MeEWN-I1oV_STSDYn1IFDPWt_1FKiwhDph83XaGc0o0/edit?usp=sharing"",""งบพรบ!BI79"")"),0)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46" t="s">
        <v>17</v>
      </c>
      <c r="E132" s="147"/>
      <c r="F132" s="147"/>
      <c r="G132" s="150"/>
      <c r="H132" s="151" t="s">
        <v>12</v>
      </c>
      <c r="I132" s="420"/>
      <c r="J132" s="420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6"/>
      <c r="J133" s="616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6"/>
      <c r="J134" s="616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IFERROR(__xludf.DUMMYFUNCTION("IMPORTRANGE(""https://docs.google.com/spreadsheets/d/1MeEWN-I1oV_STSDYn1IFDPWt_1FKiwhDph83XaGc0o0/edit?usp=sharing"",""งบพรบ!BK79"")"),0)</f>
        <v>0</v>
      </c>
      <c r="M137" s="92">
        <f ca="1">IFERROR(__xludf.DUMMYFUNCTION("IMPORTRANGE(""https://docs.google.com/spreadsheets/d/1MeEWN-I1oV_STSDYn1IFDPWt_1FKiwhDph83XaGc0o0/edit?usp=sharing"",""งบพรบ!BP79"")"),0)</f>
        <v>0</v>
      </c>
      <c r="N137" s="92">
        <f ca="1">IFERROR(__xludf.DUMMYFUNCTION("IMPORTRANGE(""https://docs.google.com/spreadsheets/d/1MeEWN-I1oV_STSDYn1IFDPWt_1FKiwhDph83XaGc0o0/edit?usp=sharing"",""งบพรบ!BR79"")"),0)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IFERROR(__xludf.DUMMYFUNCTION("IMPORTRANGE(""https://docs.google.com/spreadsheets/d/1MeEWN-I1oV_STSDYn1IFDPWt_1FKiwhDph83XaGc0o0/edit?usp=sharing"",""งบพรบ!BN79"")"),0)</f>
        <v>0</v>
      </c>
      <c r="M140" s="92">
        <f ca="1">IFERROR(__xludf.DUMMYFUNCTION("IMPORTRANGE(""https://docs.google.com/spreadsheets/d/1MeEWN-I1oV_STSDYn1IFDPWt_1FKiwhDph83XaGc0o0/edit?usp=sharing"",""งบพรบ!BQ79"")"),0)</f>
        <v>0</v>
      </c>
      <c r="N140" s="92">
        <f ca="1">IFERROR(__xludf.DUMMYFUNCTION("IMPORTRANGE(""https://docs.google.com/spreadsheets/d/1MeEWN-I1oV_STSDYn1IFDPWt_1FKiwhDph83XaGc0o0/edit?usp=sharing"",""งบพรบ!BS79"")"),0)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4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IFERROR(__xludf.DUMMYFUNCTION("IMPORTRANGE(""https://docs.google.com/spreadsheets/d/1QqKyyYR6Q21VydFLVH3TRQUabQu_ym0Zz7PgGX0-kHA/edit?usp=sharing"",""แผน!U79"")"),0)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IFERROR(__xludf.DUMMYFUNCTION("IMPORTRANGE(""https://docs.google.com/spreadsheets/d/1QqKyyYR6Q21VydFLVH3TRQUabQu_ym0Zz7PgGX0-kHA/edit?usp=sharing"",""แผน!V79"")"),0)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IFERROR(__xludf.DUMMYFUNCTION("IMPORTRANGE(""https://docs.google.com/spreadsheets/d/1QqKyyYR6Q21VydFLVH3TRQUabQu_ym0Zz7PgGX0-kHA/edit?usp=sharing"",""แผน!W79"")"),0)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 hidden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 hidden="1">
      <c r="A148" s="216"/>
      <c r="B148" s="208" t="s">
        <v>77</v>
      </c>
      <c r="C148" s="208"/>
      <c r="D148" s="208"/>
      <c r="E148" s="859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6"/>
      <c r="B149" s="147"/>
      <c r="C149" s="148" t="s">
        <v>16</v>
      </c>
      <c r="D149" s="846" t="s">
        <v>17</v>
      </c>
      <c r="E149" s="147"/>
      <c r="F149" s="147"/>
      <c r="G149" s="150"/>
      <c r="H149" s="151" t="s">
        <v>12</v>
      </c>
      <c r="I149" s="420"/>
      <c r="J149" s="420"/>
      <c r="K149" s="153"/>
      <c r="L149" s="154">
        <f ca="1">L150+L151</f>
        <v>0</v>
      </c>
      <c r="M149" s="154">
        <f ca="1">M150+M151</f>
        <v>0</v>
      </c>
      <c r="N149" s="154">
        <f ca="1">N150+N151</f>
        <v>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6"/>
      <c r="J150" s="616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6"/>
      <c r="J151" s="616"/>
      <c r="K151" s="92"/>
      <c r="L151" s="92">
        <f t="shared" ca="1" si="37"/>
        <v>0</v>
      </c>
      <c r="M151" s="92">
        <f t="shared" ca="1" si="37"/>
        <v>0</v>
      </c>
      <c r="N151" s="92">
        <f t="shared" ca="1" si="37"/>
        <v>0</v>
      </c>
      <c r="O151" s="92">
        <f t="shared" ca="1" si="35"/>
        <v>0</v>
      </c>
      <c r="P151" s="92">
        <f t="shared" ca="1" si="36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0</v>
      </c>
      <c r="N152" s="497">
        <f ca="1">N153+N154</f>
        <v>0</v>
      </c>
      <c r="O152" s="497">
        <f t="shared" ca="1" si="35"/>
        <v>0</v>
      </c>
      <c r="P152" s="497">
        <f t="shared" ca="1" si="36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IFERROR(__xludf.DUMMYFUNCTION("IMPORTRANGE(""https://docs.google.com/spreadsheets/d/1MeEWN-I1oV_STSDYn1IFDPWt_1FKiwhDph83XaGc0o0/edit?usp=sharing"",""งบพรบ!BU79"")"),0)</f>
        <v>0</v>
      </c>
      <c r="M154" s="92">
        <f ca="1">IFERROR(__xludf.DUMMYFUNCTION("IMPORTRANGE(""https://docs.google.com/spreadsheets/d/1MeEWN-I1oV_STSDYn1IFDPWt_1FKiwhDph83XaGc0o0/edit?usp=sharing"",""งบพรบ!BZ79"")"),0)</f>
        <v>0</v>
      </c>
      <c r="N154" s="92">
        <f ca="1">IFERROR(__xludf.DUMMYFUNCTION("IMPORTRANGE(""https://docs.google.com/spreadsheets/d/1MeEWN-I1oV_STSDYn1IFDPWt_1FKiwhDph83XaGc0o0/edit?usp=sharing"",""งบพรบ!CB79"")"),0)</f>
        <v>0</v>
      </c>
      <c r="O154" s="92">
        <f t="shared" ca="1" si="35"/>
        <v>0</v>
      </c>
      <c r="P154" s="92">
        <f t="shared" ca="1" si="36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IFERROR(__xludf.DUMMYFUNCTION("IMPORTRANGE(""https://docs.google.com/spreadsheets/d/1MeEWN-I1oV_STSDYn1IFDPWt_1FKiwhDph83XaGc0o0/edit?usp=sharing"",""งบพรบ!BX79"")"),0)</f>
        <v>0</v>
      </c>
      <c r="M157" s="92">
        <f ca="1">IFERROR(__xludf.DUMMYFUNCTION("IMPORTRANGE(""https://docs.google.com/spreadsheets/d/1MeEWN-I1oV_STSDYn1IFDPWt_1FKiwhDph83XaGc0o0/edit?usp=sharing"",""งบพรบ!CA79"")"),0)</f>
        <v>0</v>
      </c>
      <c r="N157" s="92">
        <f ca="1">IFERROR(__xludf.DUMMYFUNCTION("IMPORTRANGE(""https://docs.google.com/spreadsheets/d/1MeEWN-I1oV_STSDYn1IFDPWt_1FKiwhDph83XaGc0o0/edit?usp=sharing"",""งบพรบ!CC79"")"),0)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4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IFERROR(__xludf.DUMMYFUNCTION("IMPORTRANGE(""https://docs.google.com/spreadsheets/d/1QqKyyYR6Q21VydFLVH3TRQUabQu_ym0Zz7PgGX0-kHA/edit?usp=sharing"",""แผน!X79"")"),0)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6"/>
      <c r="J160" s="616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58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10</v>
      </c>
      <c r="J164" s="252">
        <f>J174+J177</f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46" t="s">
        <v>17</v>
      </c>
      <c r="E165" s="147"/>
      <c r="F165" s="147"/>
      <c r="G165" s="150"/>
      <c r="H165" s="151" t="s">
        <v>12</v>
      </c>
      <c r="I165" s="420"/>
      <c r="J165" s="420"/>
      <c r="K165" s="153"/>
      <c r="L165" s="154">
        <f ca="1">L166+L167</f>
        <v>21050</v>
      </c>
      <c r="M165" s="154">
        <f ca="1">M166+M167</f>
        <v>85940</v>
      </c>
      <c r="N165" s="154">
        <f ca="1">N166+N167</f>
        <v>85940</v>
      </c>
      <c r="O165" s="154">
        <f t="shared" ref="O165:O173" ca="1" si="38">IF(L165&gt;0,N165*100/L165,0)</f>
        <v>408.26603325415675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6"/>
      <c r="J166" s="616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6"/>
      <c r="J167" s="616"/>
      <c r="K167" s="92"/>
      <c r="L167" s="92">
        <f t="shared" ca="1" si="40"/>
        <v>21050</v>
      </c>
      <c r="M167" s="92">
        <f t="shared" ca="1" si="40"/>
        <v>85940</v>
      </c>
      <c r="N167" s="92">
        <f t="shared" ca="1" si="40"/>
        <v>85940</v>
      </c>
      <c r="O167" s="92">
        <f t="shared" ca="1" si="38"/>
        <v>408.26603325415675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21050</v>
      </c>
      <c r="M168" s="497">
        <f ca="1">M169+M170</f>
        <v>85940</v>
      </c>
      <c r="N168" s="497">
        <f ca="1">N169+N170</f>
        <v>85940</v>
      </c>
      <c r="O168" s="497">
        <f t="shared" ca="1" si="38"/>
        <v>408.26603325415675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IFERROR(__xludf.DUMMYFUNCTION("IMPORTRANGE(""https://docs.google.com/spreadsheets/d/1MeEWN-I1oV_STSDYn1IFDPWt_1FKiwhDph83XaGc0o0/edit?usp=sharing"",""งบพรบ!CE79"")"),21050)</f>
        <v>21050</v>
      </c>
      <c r="M170" s="92">
        <f ca="1">IFERROR(__xludf.DUMMYFUNCTION("IMPORTRANGE(""https://docs.google.com/spreadsheets/d/1MeEWN-I1oV_STSDYn1IFDPWt_1FKiwhDph83XaGc0o0/edit?usp=sharing"",""งบพรบ!CJ79"")"),85940)</f>
        <v>85940</v>
      </c>
      <c r="N170" s="92">
        <f ca="1">IFERROR(__xludf.DUMMYFUNCTION("IMPORTRANGE(""https://docs.google.com/spreadsheets/d/1MeEWN-I1oV_STSDYn1IFDPWt_1FKiwhDph83XaGc0o0/edit?usp=sharing"",""งบพรบ!CL79"")"),85940)</f>
        <v>85940</v>
      </c>
      <c r="O170" s="92">
        <f t="shared" ca="1" si="38"/>
        <v>408.26603325415675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IFERROR(__xludf.DUMMYFUNCTION("IMPORTRANGE(""https://docs.google.com/spreadsheets/d/1MeEWN-I1oV_STSDYn1IFDPWt_1FKiwhDph83XaGc0o0/edit?usp=sharing"",""งบพรบ!CH79"")"),0)</f>
        <v>0</v>
      </c>
      <c r="M173" s="92">
        <f ca="1">IFERROR(__xludf.DUMMYFUNCTION("IMPORTRANGE(""https://docs.google.com/spreadsheets/d/1MeEWN-I1oV_STSDYn1IFDPWt_1FKiwhDph83XaGc0o0/edit?usp=sharing"",""งบพรบ!CK79"")"),0)</f>
        <v>0</v>
      </c>
      <c r="N173" s="92">
        <f ca="1">IFERROR(__xludf.DUMMYFUNCTION("IMPORTRANGE(""https://docs.google.com/spreadsheets/d/1MeEWN-I1oV_STSDYn1IFDPWt_1FKiwhDph83XaGc0o0/edit?usp=sharing"",""งบพรบ!CM79"")"),0)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10</v>
      </c>
      <c r="J174" s="260">
        <f>J176</f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47" t="s">
        <v>38</v>
      </c>
      <c r="E175" s="172"/>
      <c r="F175" s="172"/>
      <c r="G175" s="173"/>
      <c r="H175" s="761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5" t="s">
        <v>85</v>
      </c>
      <c r="E176" s="177"/>
      <c r="F176" s="177"/>
      <c r="G176" s="178"/>
      <c r="H176" s="622" t="s">
        <v>35</v>
      </c>
      <c r="I176" s="269">
        <f ca="1">IFERROR(__xludf.DUMMYFUNCTION("IMPORTRANGE(""https://docs.google.com/spreadsheets/d/1QqKyyYR6Q21VydFLVH3TRQUabQu_ym0Zz7PgGX0-kHA/edit?usp=sharing"",""แผน!Y79"")"),10)</f>
        <v>10</v>
      </c>
      <c r="J176" s="214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61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46" t="s">
        <v>17</v>
      </c>
      <c r="E181" s="147"/>
      <c r="F181" s="147"/>
      <c r="G181" s="150"/>
      <c r="H181" s="151" t="s">
        <v>12</v>
      </c>
      <c r="I181" s="420"/>
      <c r="J181" s="420"/>
      <c r="K181" s="153"/>
      <c r="L181" s="154">
        <f ca="1">L182+L183</f>
        <v>281000</v>
      </c>
      <c r="M181" s="154">
        <f ca="1">M182+M183</f>
        <v>531000</v>
      </c>
      <c r="N181" s="154">
        <f ca="1">N182+N183</f>
        <v>531000</v>
      </c>
      <c r="O181" s="154">
        <f t="shared" ref="O181:O189" ca="1" si="41">IF(L181&gt;0,N181*100/L181,0)</f>
        <v>188.96797153024912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6"/>
      <c r="J182" s="616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6"/>
      <c r="J183" s="616"/>
      <c r="K183" s="92"/>
      <c r="L183" s="92">
        <f t="shared" ca="1" si="43"/>
        <v>281000</v>
      </c>
      <c r="M183" s="92">
        <f t="shared" ca="1" si="43"/>
        <v>531000</v>
      </c>
      <c r="N183" s="92">
        <f t="shared" ca="1" si="43"/>
        <v>531000</v>
      </c>
      <c r="O183" s="92">
        <f t="shared" ca="1" si="41"/>
        <v>188.96797153024912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281000</v>
      </c>
      <c r="M184" s="497">
        <f ca="1">M185+M186</f>
        <v>531000</v>
      </c>
      <c r="N184" s="497">
        <f ca="1">N185+N186</f>
        <v>531000</v>
      </c>
      <c r="O184" s="497">
        <f t="shared" ca="1" si="41"/>
        <v>188.96797153024912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IFERROR(__xludf.DUMMYFUNCTION("IMPORTRANGE(""https://docs.google.com/spreadsheets/d/1MeEWN-I1oV_STSDYn1IFDPWt_1FKiwhDph83XaGc0o0/edit?usp=sharing"",""งบพรบ!CO79"")"),281000)</f>
        <v>281000</v>
      </c>
      <c r="M186" s="92">
        <f ca="1">IFERROR(__xludf.DUMMYFUNCTION("IMPORTRANGE(""https://docs.google.com/spreadsheets/d/1MeEWN-I1oV_STSDYn1IFDPWt_1FKiwhDph83XaGc0o0/edit?usp=sharing"",""งบพรบ!CT79"")"),531000)</f>
        <v>531000</v>
      </c>
      <c r="N186" s="92">
        <f ca="1">IFERROR(__xludf.DUMMYFUNCTION("IMPORTRANGE(""https://docs.google.com/spreadsheets/d/1MeEWN-I1oV_STSDYn1IFDPWt_1FKiwhDph83XaGc0o0/edit?usp=sharing"",""งบพรบ!CV79"")"),531000)</f>
        <v>531000</v>
      </c>
      <c r="O186" s="92">
        <f t="shared" ca="1" si="41"/>
        <v>188.96797153024912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IFERROR(__xludf.DUMMYFUNCTION("IMPORTRANGE(""https://docs.google.com/spreadsheets/d/1MeEWN-I1oV_STSDYn1IFDPWt_1FKiwhDph83XaGc0o0/edit?usp=sharing"",""งบพรบ!CR79"")"),0)</f>
        <v>0</v>
      </c>
      <c r="M189" s="92">
        <f ca="1">IFERROR(__xludf.DUMMYFUNCTION("IMPORTRANGE(""https://docs.google.com/spreadsheets/d/1MeEWN-I1oV_STSDYn1IFDPWt_1FKiwhDph83XaGc0o0/edit?usp=sharing"",""งบพรบ!CU79"")"),0)</f>
        <v>0</v>
      </c>
      <c r="N189" s="92">
        <f ca="1">IFERROR(__xludf.DUMMYFUNCTION("IMPORTRANGE(""https://docs.google.com/spreadsheets/d/1MeEWN-I1oV_STSDYn1IFDPWt_1FKiwhDph83XaGc0o0/edit?usp=sharing"",""งบพรบ!CW79"")"),0)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54" t="s">
        <v>17</v>
      </c>
      <c r="E191" s="147"/>
      <c r="F191" s="147"/>
      <c r="G191" s="150"/>
      <c r="H191" s="274" t="s">
        <v>12</v>
      </c>
      <c r="I191" s="420"/>
      <c r="J191" s="420"/>
      <c r="K191" s="153"/>
      <c r="L191" s="154">
        <f ca="1">IFERROR(__xludf.DUMMYFUNCTION("IMPORTRANGE(""https://docs.google.com/spreadsheets/d/1QqKyyYR6Q21VydFLVH3TRQUabQu_ym0Zz7PgGX0-kHA/edit?usp=sharing"",""แผน!Z79"")"),6000)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47" t="s">
        <v>38</v>
      </c>
      <c r="E192" s="172"/>
      <c r="F192" s="172"/>
      <c r="G192" s="173"/>
      <c r="H192" s="761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7" t="s">
        <v>91</v>
      </c>
      <c r="E193" s="177"/>
      <c r="F193" s="177"/>
      <c r="G193" s="178"/>
      <c r="H193" s="763" t="s">
        <v>90</v>
      </c>
      <c r="I193" s="269">
        <f ca="1">IFERROR(__xludf.DUMMYFUNCTION("IMPORTRANGE(""https://docs.google.com/spreadsheets/d/1QqKyyYR6Q21VydFLVH3TRQUabQu_ym0Zz7PgGX0-kHA/edit?usp=sharing"",""แผน!AC79"")"),4)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7" t="s">
        <v>92</v>
      </c>
      <c r="E194" s="177"/>
      <c r="F194" s="177"/>
      <c r="G194" s="178"/>
      <c r="H194" s="276" t="s">
        <v>35</v>
      </c>
      <c r="I194" s="269"/>
      <c r="J194" s="269">
        <f>J195+J196</f>
        <v>335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7" t="s">
        <v>93</v>
      </c>
      <c r="F195" s="177"/>
      <c r="G195" s="178"/>
      <c r="H195" s="276" t="s">
        <v>35</v>
      </c>
      <c r="I195" s="269"/>
      <c r="J195" s="214">
        <v>335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7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 hidden="1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0</v>
      </c>
      <c r="J197" s="271">
        <f>J204</f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 hidden="1">
      <c r="A198" s="146"/>
      <c r="B198" s="147"/>
      <c r="C198" s="148" t="s">
        <v>16</v>
      </c>
      <c r="D198" s="854" t="s">
        <v>17</v>
      </c>
      <c r="E198" s="147"/>
      <c r="F198" s="147"/>
      <c r="G198" s="150"/>
      <c r="H198" s="274" t="s">
        <v>12</v>
      </c>
      <c r="I198" s="419"/>
      <c r="J198" s="419"/>
      <c r="K198" s="279"/>
      <c r="L198" s="154">
        <f ca="1">L199+L200+L201+L202</f>
        <v>0</v>
      </c>
      <c r="M198" s="154"/>
      <c r="N198" s="154">
        <f>N199+N200+N201+N202</f>
        <v>0</v>
      </c>
      <c r="O198" s="154">
        <f ca="1">IF(L198&gt;0,N198*100/L198,0)</f>
        <v>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 hidden="1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IFERROR(__xludf.DUMMYFUNCTION("IMPORTRANGE(""https://docs.google.com/spreadsheets/d/1QqKyyYR6Q21VydFLVH3TRQUabQu_ym0Zz7PgGX0-kHA/edit?usp=sharing"",""แผน!AE79"")"),0)</f>
        <v>0</v>
      </c>
      <c r="M199" s="497"/>
      <c r="N199" s="826">
        <v>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 hidden="1">
      <c r="A200" s="283"/>
      <c r="B200" s="280"/>
      <c r="C200" s="210"/>
      <c r="D200" s="281" t="s">
        <v>98</v>
      </c>
      <c r="E200" s="32"/>
      <c r="F200" s="32"/>
      <c r="G200" s="34"/>
      <c r="H200" s="622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IFERROR(__xludf.DUMMYFUNCTION("IMPORTRANGE(""https://docs.google.com/spreadsheets/d/1QqKyyYR6Q21VydFLVH3TRQUabQu_ym0Zz7PgGX0-kHA/edit?usp=sharing"",""แผน!AF79"")"),0)</f>
        <v>0</v>
      </c>
      <c r="M200" s="497"/>
      <c r="N200" s="826">
        <v>0</v>
      </c>
      <c r="O200" s="497"/>
      <c r="P200" s="497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 hidden="1">
      <c r="A201" s="283"/>
      <c r="B201" s="280"/>
      <c r="C201" s="210"/>
      <c r="D201" s="281" t="s">
        <v>99</v>
      </c>
      <c r="E201" s="32"/>
      <c r="F201" s="32"/>
      <c r="G201" s="34"/>
      <c r="H201" s="622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IFERROR(__xludf.DUMMYFUNCTION("IMPORTRANGE(""https://docs.google.com/spreadsheets/d/1QqKyyYR6Q21VydFLVH3TRQUabQu_ym0Zz7PgGX0-kHA/edit?usp=sharing"",""แผน!AG79"")"),0)</f>
        <v>0</v>
      </c>
      <c r="M201" s="497"/>
      <c r="N201" s="826">
        <v>0</v>
      </c>
      <c r="O201" s="497"/>
      <c r="P201" s="497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 hidden="1">
      <c r="A202" s="283"/>
      <c r="B202" s="280"/>
      <c r="C202" s="210"/>
      <c r="D202" s="281" t="s">
        <v>100</v>
      </c>
      <c r="E202" s="32"/>
      <c r="F202" s="32"/>
      <c r="G202" s="34"/>
      <c r="H202" s="622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IFERROR(__xludf.DUMMYFUNCTION("IMPORTRANGE(""https://docs.google.com/spreadsheets/d/1QqKyyYR6Q21VydFLVH3TRQUabQu_ym0Zz7PgGX0-kHA/edit?usp=sharing"",""แผน!AH79"")"),0)</f>
        <v>0</v>
      </c>
      <c r="M202" s="497"/>
      <c r="N202" s="826">
        <v>0</v>
      </c>
      <c r="O202" s="497"/>
      <c r="P202" s="497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 hidden="1">
      <c r="A203" s="169"/>
      <c r="B203" s="170"/>
      <c r="C203" s="210" t="s">
        <v>16</v>
      </c>
      <c r="D203" s="847" t="s">
        <v>38</v>
      </c>
      <c r="E203" s="172"/>
      <c r="F203" s="172"/>
      <c r="G203" s="173"/>
      <c r="H203" s="761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 hidden="1">
      <c r="A204" s="169"/>
      <c r="B204" s="170"/>
      <c r="C204" s="170"/>
      <c r="D204" s="175" t="s">
        <v>101</v>
      </c>
      <c r="E204" s="177"/>
      <c r="F204" s="177"/>
      <c r="G204" s="178"/>
      <c r="H204" s="761" t="s">
        <v>96</v>
      </c>
      <c r="I204" s="269">
        <f ca="1">IFERROR(__xludf.DUMMYFUNCTION("IMPORTRANGE(""https://docs.google.com/spreadsheets/d/1QqKyyYR6Q21VydFLVH3TRQUabQu_ym0Zz7PgGX0-kHA/edit?usp=sharing"",""แผน!AI79"")"),0)</f>
        <v>0</v>
      </c>
      <c r="J204" s="214">
        <v>0</v>
      </c>
      <c r="K204" s="162">
        <f ca="1">IF(I204&gt;0,J204*100/I204,0)</f>
        <v>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 hidden="1">
      <c r="A205" s="169"/>
      <c r="B205" s="170"/>
      <c r="C205" s="170"/>
      <c r="D205" s="447" t="s">
        <v>59</v>
      </c>
      <c r="E205" s="177"/>
      <c r="F205" s="177"/>
      <c r="G205" s="178"/>
      <c r="H205" s="761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 hidden="1">
      <c r="A206" s="169"/>
      <c r="B206" s="170"/>
      <c r="C206" s="170"/>
      <c r="D206" s="177"/>
      <c r="E206" s="531" t="s">
        <v>102</v>
      </c>
      <c r="F206" s="286"/>
      <c r="G206" s="287"/>
      <c r="H206" s="288" t="s">
        <v>96</v>
      </c>
      <c r="I206" s="269"/>
      <c r="J206" s="214">
        <v>0</v>
      </c>
      <c r="K206" s="162"/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 hidden="1">
      <c r="A207" s="169"/>
      <c r="B207" s="170"/>
      <c r="C207" s="170"/>
      <c r="D207" s="447"/>
      <c r="E207" s="447" t="s">
        <v>103</v>
      </c>
      <c r="F207" s="177"/>
      <c r="G207" s="177"/>
      <c r="H207" s="289" t="s">
        <v>104</v>
      </c>
      <c r="I207" s="269"/>
      <c r="J207" s="214">
        <v>0</v>
      </c>
      <c r="K207" s="162"/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54" t="s">
        <v>17</v>
      </c>
      <c r="E209" s="147"/>
      <c r="F209" s="147"/>
      <c r="G209" s="150"/>
      <c r="H209" s="274" t="s">
        <v>12</v>
      </c>
      <c r="I209" s="419"/>
      <c r="J209" s="419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IFERROR(__xludf.DUMMYFUNCTION("IMPORTRANGE(""https://docs.google.com/spreadsheets/d/1QqKyyYR6Q21VydFLVH3TRQUabQu_ym0Zz7PgGX0-kHA/edit?usp=sharing"",""แผน!AK79"")"),0)</f>
        <v>0</v>
      </c>
      <c r="M210" s="497"/>
      <c r="N210" s="826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3"/>
      <c r="B211" s="280"/>
      <c r="C211" s="291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IFERROR(__xludf.DUMMYFUNCTION("IMPORTRANGE(""https://docs.google.com/spreadsheets/d/1QqKyyYR6Q21VydFLVH3TRQUabQu_ym0Zz7PgGX0-kHA/edit?usp=sharing"",""แผน!AL79"")"),0)</f>
        <v>0</v>
      </c>
      <c r="M211" s="497"/>
      <c r="N211" s="826">
        <v>0</v>
      </c>
      <c r="O211" s="497"/>
      <c r="P211" s="497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IFERROR(__xludf.DUMMYFUNCTION("IMPORTRANGE(""https://docs.google.com/spreadsheets/d/1QqKyyYR6Q21VydFLVH3TRQUabQu_ym0Zz7PgGX0-kHA/edit?usp=sharing"",""แผน!AM79"")"),0)</f>
        <v>0</v>
      </c>
      <c r="M212" s="497"/>
      <c r="N212" s="826">
        <v>0</v>
      </c>
      <c r="O212" s="497"/>
      <c r="P212" s="497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69"/>
      <c r="B213" s="170"/>
      <c r="C213" s="291" t="s">
        <v>16</v>
      </c>
      <c r="D213" s="847" t="s">
        <v>38</v>
      </c>
      <c r="E213" s="172"/>
      <c r="F213" s="172"/>
      <c r="G213" s="173"/>
      <c r="H213" s="761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61" t="s">
        <v>96</v>
      </c>
      <c r="I214" s="269">
        <f ca="1">IFERROR(__xludf.DUMMYFUNCTION("IMPORTRANGE(""https://docs.google.com/spreadsheets/d/1QqKyyYR6Q21VydFLVH3TRQUabQu_ym0Zz7PgGX0-kHA/edit?usp=sharing"",""แผน!AN79"")"),0)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61" t="s">
        <v>96</v>
      </c>
      <c r="I215" s="269">
        <f ca="1">IFERROR(__xludf.DUMMYFUNCTION("IMPORTRANGE(""https://docs.google.com/spreadsheets/d/1QqKyyYR6Q21VydFLVH3TRQUabQu_ym0Zz7PgGX0-kHA/edit?usp=sharing"",""แผน!AN79"")"),0)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ca="1">I224</f>
        <v>10000</v>
      </c>
      <c r="J216" s="271">
        <f>J224</f>
        <v>10000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54" t="s">
        <v>17</v>
      </c>
      <c r="E217" s="147"/>
      <c r="F217" s="147"/>
      <c r="G217" s="150"/>
      <c r="H217" s="274" t="s">
        <v>12</v>
      </c>
      <c r="I217" s="419"/>
      <c r="J217" s="419"/>
      <c r="K217" s="279"/>
      <c r="L217" s="154">
        <f ca="1">L218+L219+L220</f>
        <v>6500</v>
      </c>
      <c r="M217" s="154"/>
      <c r="N217" s="154">
        <f>N218+N219+N220</f>
        <v>6500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IFERROR(__xludf.DUMMYFUNCTION("IMPORTRANGE(""https://docs.google.com/spreadsheets/d/1QqKyyYR6Q21VydFLVH3TRQUabQu_ym0Zz7PgGX0-kHA/edit?usp=sharing"",""แผน!AP79"")"),3000)</f>
        <v>3000</v>
      </c>
      <c r="M218" s="497"/>
      <c r="N218" s="826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3"/>
      <c r="B219" s="280"/>
      <c r="C219" s="291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IFERROR(__xludf.DUMMYFUNCTION("IMPORTRANGE(""https://docs.google.com/spreadsheets/d/1QqKyyYR6Q21VydFLVH3TRQUabQu_ym0Zz7PgGX0-kHA/edit?usp=sharing"",""แผน!AQ79"")"),3500)</f>
        <v>3500</v>
      </c>
      <c r="M219" s="497"/>
      <c r="N219" s="826">
        <v>3500</v>
      </c>
      <c r="O219" s="497"/>
      <c r="P219" s="497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IFERROR(__xludf.DUMMYFUNCTION("IMPORTRANGE(""https://docs.google.com/spreadsheets/d/1QqKyyYR6Q21VydFLVH3TRQUabQu_ym0Zz7PgGX0-kHA/edit?usp=sharing"",""แผน!AR79"")"),0)</f>
        <v>0</v>
      </c>
      <c r="M220" s="497"/>
      <c r="N220" s="826">
        <v>0</v>
      </c>
      <c r="O220" s="497"/>
      <c r="P220" s="497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69"/>
      <c r="B221" s="170"/>
      <c r="C221" s="291" t="s">
        <v>16</v>
      </c>
      <c r="D221" s="847" t="s">
        <v>38</v>
      </c>
      <c r="E221" s="172"/>
      <c r="F221" s="172"/>
      <c r="G221" s="173"/>
      <c r="H221" s="761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61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63" t="s">
        <v>109</v>
      </c>
      <c r="I223" s="269">
        <f ca="1">IFERROR(__xludf.DUMMYFUNCTION("IMPORTRANGE(""https://docs.google.com/spreadsheets/d/1QqKyyYR6Q21VydFLVH3TRQUabQu_ym0Zz7PgGX0-kHA/edit?usp=sharing"",""แผน!AT79"")"),10000)</f>
        <v>10000</v>
      </c>
      <c r="J223" s="214">
        <v>10000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63" t="s">
        <v>109</v>
      </c>
      <c r="I224" s="269">
        <f ca="1">IFERROR(__xludf.DUMMYFUNCTION("IMPORTRANGE(""https://docs.google.com/spreadsheets/d/1QqKyyYR6Q21VydFLVH3TRQUabQu_ym0Zz7PgGX0-kHA/edit?usp=sharing"",""แผน!AT79"")"),10000)</f>
        <v>10000</v>
      </c>
      <c r="J224" s="214">
        <v>10000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63" t="s">
        <v>35</v>
      </c>
      <c r="I225" s="269">
        <f ca="1">IFERROR(__xludf.DUMMYFUNCTION("IMPORTRANGE(""https://docs.google.com/spreadsheets/d/1QqKyyYR6Q21VydFLVH3TRQUabQu_ym0Zz7PgGX0-kHA/edit?usp=sharing"",""แผน!AS79"")"),0)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0</v>
      </c>
      <c r="J226" s="344">
        <f>J237+J248</f>
        <v>0</v>
      </c>
      <c r="K226" s="345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0</v>
      </c>
      <c r="M227" s="355"/>
      <c r="N227" s="355">
        <f>N238+N249</f>
        <v>0</v>
      </c>
      <c r="O227" s="855"/>
      <c r="P227" s="85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6"/>
      <c r="J229" s="616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6"/>
      <c r="J230" s="616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6"/>
      <c r="J231" s="616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6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6">
        <f ca="1">I244+I255</f>
        <v>0</v>
      </c>
      <c r="J233" s="616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6"/>
      <c r="J234" s="616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6">
        <f>I246+I257</f>
        <v>0</v>
      </c>
      <c r="J235" s="616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6">
        <f>I247+I258</f>
        <v>0</v>
      </c>
      <c r="J236" s="616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92"/>
      <c r="B237" s="293"/>
      <c r="C237" s="294" t="s">
        <v>332</v>
      </c>
      <c r="D237" s="295"/>
      <c r="E237" s="295"/>
      <c r="F237" s="295"/>
      <c r="G237" s="296"/>
      <c r="H237" s="297" t="s">
        <v>35</v>
      </c>
      <c r="I237" s="298">
        <f ca="1">I244</f>
        <v>0</v>
      </c>
      <c r="J237" s="298">
        <f>J244</f>
        <v>0</v>
      </c>
      <c r="K237" s="299">
        <f ca="1">IF(I237&gt;0,J237*100/I237,0)</f>
        <v>0</v>
      </c>
      <c r="L237" s="300"/>
      <c r="M237" s="300"/>
      <c r="N237" s="300"/>
      <c r="O237" s="300"/>
      <c r="P237" s="300"/>
      <c r="Q237" s="301"/>
      <c r="R237" s="301"/>
      <c r="S237" s="301"/>
      <c r="T237" s="301"/>
      <c r="U237" s="301"/>
      <c r="V237" s="301"/>
      <c r="W237" s="301"/>
      <c r="X237" s="301"/>
      <c r="Y237" s="301"/>
      <c r="Z237" s="301"/>
    </row>
    <row r="238" spans="1:26" ht="19.5" hidden="1">
      <c r="A238" s="302"/>
      <c r="B238" s="303"/>
      <c r="C238" s="304" t="s">
        <v>16</v>
      </c>
      <c r="D238" s="305" t="s">
        <v>17</v>
      </c>
      <c r="E238" s="303"/>
      <c r="F238" s="303"/>
      <c r="G238" s="306"/>
      <c r="H238" s="307" t="s">
        <v>12</v>
      </c>
      <c r="I238" s="308"/>
      <c r="J238" s="308"/>
      <c r="K238" s="309"/>
      <c r="L238" s="310">
        <f ca="1">L239+L240+L241+L242</f>
        <v>0</v>
      </c>
      <c r="M238" s="310"/>
      <c r="N238" s="310">
        <f>N239+N240+N241+N242</f>
        <v>0</v>
      </c>
      <c r="O238" s="310">
        <f ca="1">IF(L238&gt;0,N238*100/L238,0)</f>
        <v>0</v>
      </c>
      <c r="P238" s="310">
        <f>IF(M238&gt;0,N238*100/M238,0)</f>
        <v>0</v>
      </c>
      <c r="Q238" s="312"/>
      <c r="R238" s="312"/>
      <c r="S238" s="312"/>
      <c r="T238" s="312"/>
      <c r="U238" s="312"/>
      <c r="V238" s="312"/>
      <c r="W238" s="312"/>
      <c r="X238" s="312"/>
      <c r="Y238" s="312"/>
      <c r="Z238" s="312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IFERROR(__xludf.DUMMYFUNCTION("IMPORTRANGE(""https://docs.google.com/spreadsheets/d/1QqKyyYR6Q21VydFLVH3TRQUabQu_ym0Zz7PgGX0-kHA/edit?usp=sharing"",""แผน!AV79"")"),0)</f>
        <v>0</v>
      </c>
      <c r="M239" s="321"/>
      <c r="N239" s="853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IFERROR(__xludf.DUMMYFUNCTION("IMPORTRANGE(""https://docs.google.com/spreadsheets/d/1QqKyyYR6Q21VydFLVH3TRQUabQu_ym0Zz7PgGX0-kHA/edit?usp=sharing"",""แผน!AW79"")"),0)</f>
        <v>0</v>
      </c>
      <c r="M240" s="321"/>
      <c r="N240" s="853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IFERROR(__xludf.DUMMYFUNCTION("IMPORTRANGE(""https://docs.google.com/spreadsheets/d/1QqKyyYR6Q21VydFLVH3TRQUabQu_ym0Zz7PgGX0-kHA/edit?usp=sharing"",""แผน!AX79"")"),0)</f>
        <v>0</v>
      </c>
      <c r="M241" s="321"/>
      <c r="N241" s="853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IFERROR(__xludf.DUMMYFUNCTION("IMPORTRANGE(""https://docs.google.com/spreadsheets/d/1QqKyyYR6Q21VydFLVH3TRQUabQu_ym0Zz7PgGX0-kHA/edit?usp=sharing"",""แผน!AY79"")"),0)</f>
        <v>0</v>
      </c>
      <c r="M242" s="321"/>
      <c r="N242" s="853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327"/>
      <c r="B243" s="328"/>
      <c r="C243" s="323" t="s">
        <v>16</v>
      </c>
      <c r="D243" s="871" t="s">
        <v>38</v>
      </c>
      <c r="E243" s="330"/>
      <c r="F243" s="330"/>
      <c r="G243" s="331"/>
      <c r="H243" s="332"/>
      <c r="I243" s="319"/>
      <c r="J243" s="325"/>
      <c r="K243" s="321"/>
      <c r="L243" s="321"/>
      <c r="M243" s="321"/>
      <c r="N243" s="321"/>
      <c r="O243" s="320"/>
      <c r="P243" s="320"/>
      <c r="Q243" s="312"/>
      <c r="R243" s="312"/>
      <c r="S243" s="312"/>
      <c r="T243" s="312"/>
      <c r="U243" s="312"/>
      <c r="V243" s="312"/>
      <c r="W243" s="312"/>
      <c r="X243" s="312"/>
      <c r="Y243" s="312"/>
      <c r="Z243" s="312"/>
    </row>
    <row r="244" spans="1:26" ht="18.75" hidden="1">
      <c r="A244" s="327"/>
      <c r="B244" s="328"/>
      <c r="C244" s="328"/>
      <c r="D244" s="333" t="s">
        <v>117</v>
      </c>
      <c r="E244" s="334"/>
      <c r="F244" s="334"/>
      <c r="G244" s="335"/>
      <c r="H244" s="336" t="s">
        <v>35</v>
      </c>
      <c r="I244" s="325">
        <f ca="1">IFERROR(__xludf.DUMMYFUNCTION("IMPORTRANGE(""https://docs.google.com/spreadsheets/d/1QqKyyYR6Q21VydFLVH3TRQUabQu_ym0Zz7PgGX0-kHA/edit?usp=sharing"",""แผน!BE79"")"),0)</f>
        <v>0</v>
      </c>
      <c r="J244" s="870">
        <v>0</v>
      </c>
      <c r="K244" s="321">
        <f ca="1">IF(I244&gt;0,J244*100/I244,0)</f>
        <v>0</v>
      </c>
      <c r="L244" s="321"/>
      <c r="M244" s="321"/>
      <c r="N244" s="321"/>
      <c r="O244" s="321"/>
      <c r="P244" s="321"/>
      <c r="Q244" s="312"/>
      <c r="R244" s="312"/>
      <c r="S244" s="312"/>
      <c r="T244" s="312"/>
      <c r="U244" s="312"/>
      <c r="V244" s="312"/>
      <c r="W244" s="312"/>
      <c r="X244" s="312"/>
      <c r="Y244" s="312"/>
      <c r="Z244" s="312"/>
    </row>
    <row r="245" spans="1:26" ht="18.75" hidden="1">
      <c r="A245" s="327"/>
      <c r="B245" s="328"/>
      <c r="C245" s="328"/>
      <c r="D245" s="337" t="s">
        <v>43</v>
      </c>
      <c r="E245" s="334"/>
      <c r="F245" s="334"/>
      <c r="G245" s="335"/>
      <c r="H245" s="336"/>
      <c r="I245" s="325"/>
      <c r="J245" s="325"/>
      <c r="K245" s="321"/>
      <c r="L245" s="321"/>
      <c r="M245" s="321"/>
      <c r="N245" s="321"/>
      <c r="O245" s="320"/>
      <c r="P245" s="320"/>
      <c r="Q245" s="312"/>
      <c r="R245" s="312"/>
      <c r="S245" s="312"/>
      <c r="T245" s="312"/>
      <c r="U245" s="312"/>
      <c r="V245" s="312"/>
      <c r="W245" s="312"/>
      <c r="X245" s="312"/>
      <c r="Y245" s="312"/>
      <c r="Z245" s="312"/>
    </row>
    <row r="246" spans="1:26" ht="18.75" hidden="1">
      <c r="A246" s="327"/>
      <c r="B246" s="328"/>
      <c r="C246" s="328"/>
      <c r="D246" s="328"/>
      <c r="E246" s="338" t="s">
        <v>118</v>
      </c>
      <c r="F246" s="334"/>
      <c r="G246" s="335"/>
      <c r="H246" s="336" t="s">
        <v>35</v>
      </c>
      <c r="I246" s="325"/>
      <c r="J246" s="870">
        <v>0</v>
      </c>
      <c r="K246" s="321">
        <f>IF(I246&gt;0,J246*100/I246,0)</f>
        <v>0</v>
      </c>
      <c r="L246" s="321"/>
      <c r="M246" s="321"/>
      <c r="N246" s="321"/>
      <c r="O246" s="321"/>
      <c r="P246" s="321"/>
      <c r="Q246" s="312"/>
      <c r="R246" s="312"/>
      <c r="S246" s="312"/>
      <c r="T246" s="312"/>
      <c r="U246" s="312"/>
      <c r="V246" s="312"/>
      <c r="W246" s="312"/>
      <c r="X246" s="312"/>
      <c r="Y246" s="312"/>
      <c r="Z246" s="312"/>
    </row>
    <row r="247" spans="1:26" ht="18.75" hidden="1">
      <c r="A247" s="327"/>
      <c r="B247" s="328"/>
      <c r="C247" s="328"/>
      <c r="D247" s="328"/>
      <c r="E247" s="338" t="s">
        <v>119</v>
      </c>
      <c r="F247" s="334"/>
      <c r="G247" s="335"/>
      <c r="H247" s="336" t="s">
        <v>66</v>
      </c>
      <c r="I247" s="325"/>
      <c r="J247" s="870">
        <v>0</v>
      </c>
      <c r="K247" s="321">
        <f>IF(I247&gt;0,J247*100/I247,0)</f>
        <v>0</v>
      </c>
      <c r="L247" s="321"/>
      <c r="M247" s="321"/>
      <c r="N247" s="321"/>
      <c r="O247" s="321"/>
      <c r="P247" s="321"/>
      <c r="Q247" s="312"/>
      <c r="R247" s="312"/>
      <c r="S247" s="312"/>
      <c r="T247" s="312"/>
      <c r="U247" s="312"/>
      <c r="V247" s="312"/>
      <c r="W247" s="312"/>
      <c r="X247" s="312"/>
      <c r="Y247" s="312"/>
      <c r="Z247" s="312"/>
    </row>
    <row r="248" spans="1:26" ht="19.5" hidden="1">
      <c r="A248" s="292"/>
      <c r="B248" s="293"/>
      <c r="C248" s="294" t="s">
        <v>331</v>
      </c>
      <c r="D248" s="295"/>
      <c r="E248" s="295"/>
      <c r="F248" s="295"/>
      <c r="G248" s="296"/>
      <c r="H248" s="297" t="s">
        <v>35</v>
      </c>
      <c r="I248" s="298">
        <f ca="1">I255</f>
        <v>0</v>
      </c>
      <c r="J248" s="298">
        <f>J255</f>
        <v>0</v>
      </c>
      <c r="K248" s="299">
        <f ca="1">IF(I248&gt;0,J248*100/I248,0)</f>
        <v>0</v>
      </c>
      <c r="L248" s="300"/>
      <c r="M248" s="300"/>
      <c r="N248" s="300"/>
      <c r="O248" s="300"/>
      <c r="P248" s="300"/>
      <c r="Q248" s="301"/>
      <c r="R248" s="301"/>
      <c r="S248" s="301"/>
      <c r="T248" s="301"/>
      <c r="U248" s="301"/>
      <c r="V248" s="301"/>
      <c r="W248" s="301"/>
      <c r="X248" s="301"/>
      <c r="Y248" s="301"/>
      <c r="Z248" s="301"/>
    </row>
    <row r="249" spans="1:26" ht="19.5" hidden="1">
      <c r="A249" s="302"/>
      <c r="B249" s="303"/>
      <c r="C249" s="304" t="s">
        <v>16</v>
      </c>
      <c r="D249" s="872" t="s">
        <v>17</v>
      </c>
      <c r="E249" s="303"/>
      <c r="F249" s="303"/>
      <c r="G249" s="306"/>
      <c r="H249" s="307" t="s">
        <v>12</v>
      </c>
      <c r="I249" s="308"/>
      <c r="J249" s="308"/>
      <c r="K249" s="309"/>
      <c r="L249" s="310">
        <f ca="1">L250+L251+L252+L253</f>
        <v>0</v>
      </c>
      <c r="M249" s="310"/>
      <c r="N249" s="310">
        <f>N250+N251+N252+N253</f>
        <v>0</v>
      </c>
      <c r="O249" s="310">
        <f ca="1">IF(L249&gt;0,N249*100/L249,0)</f>
        <v>0</v>
      </c>
      <c r="P249" s="310">
        <f>IF(M249&gt;0,N249*100/M249,0)</f>
        <v>0</v>
      </c>
      <c r="Q249" s="312"/>
      <c r="R249" s="312"/>
      <c r="S249" s="312"/>
      <c r="T249" s="312"/>
      <c r="U249" s="312"/>
      <c r="V249" s="312"/>
      <c r="W249" s="312"/>
      <c r="X249" s="312"/>
      <c r="Y249" s="312"/>
      <c r="Z249" s="312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IFERROR(__xludf.DUMMYFUNCTION("IMPORTRANGE(""https://docs.google.com/spreadsheets/d/1QqKyyYR6Q21VydFLVH3TRQUabQu_ym0Zz7PgGX0-kHA/edit?usp=sharing"",""แผน!AZ79"")"),0)</f>
        <v>0</v>
      </c>
      <c r="M250" s="321"/>
      <c r="N250" s="853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IFERROR(__xludf.DUMMYFUNCTION("IMPORTRANGE(""https://docs.google.com/spreadsheets/d/1QqKyyYR6Q21VydFLVH3TRQUabQu_ym0Zz7PgGX0-kHA/edit?usp=sharing"",""แผน!BA79"")"),0)</f>
        <v>0</v>
      </c>
      <c r="M251" s="321"/>
      <c r="N251" s="853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IFERROR(__xludf.DUMMYFUNCTION("IMPORTRANGE(""https://docs.google.com/spreadsheets/d/1QqKyyYR6Q21VydFLVH3TRQUabQu_ym0Zz7PgGX0-kHA/edit?usp=sharing"",""แผน!BB79"")"),0)</f>
        <v>0</v>
      </c>
      <c r="M252" s="321"/>
      <c r="N252" s="853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IFERROR(__xludf.DUMMYFUNCTION("IMPORTRANGE(""https://docs.google.com/spreadsheets/d/1QqKyyYR6Q21VydFLVH3TRQUabQu_ym0Zz7PgGX0-kHA/edit?usp=sharing"",""แผน!BC79"")"),0)</f>
        <v>0</v>
      </c>
      <c r="M253" s="321"/>
      <c r="N253" s="853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327"/>
      <c r="B254" s="328"/>
      <c r="C254" s="323" t="s">
        <v>16</v>
      </c>
      <c r="D254" s="871" t="s">
        <v>38</v>
      </c>
      <c r="E254" s="330"/>
      <c r="F254" s="330"/>
      <c r="G254" s="331"/>
      <c r="H254" s="332"/>
      <c r="I254" s="319"/>
      <c r="J254" s="325"/>
      <c r="K254" s="321"/>
      <c r="L254" s="321"/>
      <c r="M254" s="321"/>
      <c r="N254" s="321"/>
      <c r="O254" s="320"/>
      <c r="P254" s="320"/>
      <c r="Q254" s="312"/>
      <c r="R254" s="312"/>
      <c r="S254" s="312"/>
      <c r="T254" s="312"/>
      <c r="U254" s="312"/>
      <c r="V254" s="312"/>
      <c r="W254" s="312"/>
      <c r="X254" s="312"/>
      <c r="Y254" s="312"/>
      <c r="Z254" s="312"/>
    </row>
    <row r="255" spans="1:26" ht="18.75" hidden="1">
      <c r="A255" s="327"/>
      <c r="B255" s="328"/>
      <c r="C255" s="328"/>
      <c r="D255" s="333" t="s">
        <v>117</v>
      </c>
      <c r="E255" s="334"/>
      <c r="F255" s="334"/>
      <c r="G255" s="335"/>
      <c r="H255" s="336" t="s">
        <v>35</v>
      </c>
      <c r="I255" s="325">
        <f ca="1">IFERROR(__xludf.DUMMYFUNCTION("IMPORTRANGE(""https://docs.google.com/spreadsheets/d/1QqKyyYR6Q21VydFLVH3TRQUabQu_ym0Zz7PgGX0-kHA/edit?usp=sharing"",""แผน!BF79"")"),0)</f>
        <v>0</v>
      </c>
      <c r="J255" s="870">
        <v>0</v>
      </c>
      <c r="K255" s="321">
        <f ca="1">IF(I255&gt;0,J255*100/I255,0)</f>
        <v>0</v>
      </c>
      <c r="L255" s="321"/>
      <c r="M255" s="321"/>
      <c r="N255" s="321"/>
      <c r="O255" s="321"/>
      <c r="P255" s="321"/>
      <c r="Q255" s="312"/>
      <c r="R255" s="312"/>
      <c r="S255" s="312"/>
      <c r="T255" s="312"/>
      <c r="U255" s="312"/>
      <c r="V255" s="312"/>
      <c r="W255" s="312"/>
      <c r="X255" s="312"/>
      <c r="Y255" s="312"/>
      <c r="Z255" s="312"/>
    </row>
    <row r="256" spans="1:26" ht="18.75" hidden="1">
      <c r="A256" s="327"/>
      <c r="B256" s="328"/>
      <c r="C256" s="328"/>
      <c r="D256" s="337" t="s">
        <v>43</v>
      </c>
      <c r="E256" s="334"/>
      <c r="F256" s="334"/>
      <c r="G256" s="335"/>
      <c r="H256" s="336"/>
      <c r="I256" s="325"/>
      <c r="J256" s="325"/>
      <c r="K256" s="321"/>
      <c r="L256" s="321"/>
      <c r="M256" s="321"/>
      <c r="N256" s="321"/>
      <c r="O256" s="320"/>
      <c r="P256" s="320"/>
      <c r="Q256" s="312"/>
      <c r="R256" s="312"/>
      <c r="S256" s="312"/>
      <c r="T256" s="312"/>
      <c r="U256" s="312"/>
      <c r="V256" s="312"/>
      <c r="W256" s="312"/>
      <c r="X256" s="312"/>
      <c r="Y256" s="312"/>
      <c r="Z256" s="312"/>
    </row>
    <row r="257" spans="1:26" ht="18.75" hidden="1">
      <c r="A257" s="327"/>
      <c r="B257" s="328"/>
      <c r="C257" s="328"/>
      <c r="D257" s="328"/>
      <c r="E257" s="338" t="s">
        <v>118</v>
      </c>
      <c r="F257" s="334"/>
      <c r="G257" s="335"/>
      <c r="H257" s="336" t="s">
        <v>35</v>
      </c>
      <c r="I257" s="325"/>
      <c r="J257" s="870">
        <v>0</v>
      </c>
      <c r="K257" s="321">
        <f>IF(I257&gt;0,J257*100/I257,0)</f>
        <v>0</v>
      </c>
      <c r="L257" s="321"/>
      <c r="M257" s="321"/>
      <c r="N257" s="321"/>
      <c r="O257" s="321"/>
      <c r="P257" s="321"/>
      <c r="Q257" s="312"/>
      <c r="R257" s="312"/>
      <c r="S257" s="312"/>
      <c r="T257" s="312"/>
      <c r="U257" s="312"/>
      <c r="V257" s="312"/>
      <c r="W257" s="312"/>
      <c r="X257" s="312"/>
      <c r="Y257" s="312"/>
      <c r="Z257" s="312"/>
    </row>
    <row r="258" spans="1:26" ht="18.75" hidden="1">
      <c r="A258" s="327"/>
      <c r="B258" s="328"/>
      <c r="C258" s="328"/>
      <c r="D258" s="328"/>
      <c r="E258" s="338" t="s">
        <v>119</v>
      </c>
      <c r="F258" s="334"/>
      <c r="G258" s="335"/>
      <c r="H258" s="336" t="s">
        <v>66</v>
      </c>
      <c r="I258" s="325"/>
      <c r="J258" s="870">
        <v>0</v>
      </c>
      <c r="K258" s="321">
        <f>IF(I258&gt;0,J258*100/I258,0)</f>
        <v>0</v>
      </c>
      <c r="L258" s="321"/>
      <c r="M258" s="321"/>
      <c r="N258" s="321"/>
      <c r="O258" s="321"/>
      <c r="P258" s="321"/>
      <c r="Q258" s="312"/>
      <c r="R258" s="312"/>
      <c r="S258" s="312"/>
      <c r="T258" s="312"/>
      <c r="U258" s="312"/>
      <c r="V258" s="312"/>
      <c r="W258" s="312"/>
      <c r="X258" s="312"/>
      <c r="Y258" s="312"/>
      <c r="Z258" s="31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16</v>
      </c>
      <c r="J260" s="252">
        <f>J271</f>
        <v>16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46" t="s">
        <v>17</v>
      </c>
      <c r="E261" s="147"/>
      <c r="F261" s="147"/>
      <c r="G261" s="150"/>
      <c r="H261" s="151" t="s">
        <v>12</v>
      </c>
      <c r="I261" s="420"/>
      <c r="J261" s="420"/>
      <c r="K261" s="153"/>
      <c r="L261" s="154">
        <f ca="1">L262+L263</f>
        <v>21200</v>
      </c>
      <c r="M261" s="154">
        <f ca="1">M262+M263</f>
        <v>21200</v>
      </c>
      <c r="N261" s="154">
        <f ca="1">N262+N263</f>
        <v>21200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6"/>
      <c r="J262" s="616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6"/>
      <c r="J263" s="616"/>
      <c r="K263" s="92"/>
      <c r="L263" s="92">
        <f t="shared" ca="1" si="46"/>
        <v>21200</v>
      </c>
      <c r="M263" s="92">
        <f t="shared" ca="1" si="46"/>
        <v>21200</v>
      </c>
      <c r="N263" s="92">
        <f t="shared" ca="1" si="46"/>
        <v>21200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21200</v>
      </c>
      <c r="M264" s="497">
        <f ca="1">M265+M266</f>
        <v>21200</v>
      </c>
      <c r="N264" s="497">
        <f ca="1">N265+N266</f>
        <v>21200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IFERROR(__xludf.DUMMYFUNCTION("IMPORTRANGE(""https://docs.google.com/spreadsheets/d/1MeEWN-I1oV_STSDYn1IFDPWt_1FKiwhDph83XaGc0o0/edit?usp=sharing"",""งบพรบ!CY79"")"),21200)</f>
        <v>21200</v>
      </c>
      <c r="M266" s="92">
        <f ca="1">IFERROR(__xludf.DUMMYFUNCTION("IMPORTRANGE(""https://docs.google.com/spreadsheets/d/1MeEWN-I1oV_STSDYn1IFDPWt_1FKiwhDph83XaGc0o0/edit?usp=sharing"",""งบพรบ!DD79"")"),21200)</f>
        <v>21200</v>
      </c>
      <c r="N266" s="92">
        <f ca="1">IFERROR(__xludf.DUMMYFUNCTION("IMPORTRANGE(""https://docs.google.com/spreadsheets/d/1MeEWN-I1oV_STSDYn1IFDPWt_1FKiwhDph83XaGc0o0/edit?usp=sharing"",""งบพรบ!DF79"")"),21200)</f>
        <v>21200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IFERROR(__xludf.DUMMYFUNCTION("IMPORTRANGE(""https://docs.google.com/spreadsheets/d/1MeEWN-I1oV_STSDYn1IFDPWt_1FKiwhDph83XaGc0o0/edit?usp=sharing"",""งบพรบ!DB79"")"),0)</f>
        <v>0</v>
      </c>
      <c r="M269" s="92">
        <f ca="1">IFERROR(__xludf.DUMMYFUNCTION("IMPORTRANGE(""https://docs.google.com/spreadsheets/d/1MeEWN-I1oV_STSDYn1IFDPWt_1FKiwhDph83XaGc0o0/edit?usp=sharing"",""งบพรบ!DE79"")"),0)</f>
        <v>0</v>
      </c>
      <c r="N269" s="92">
        <f ca="1">IFERROR(__xludf.DUMMYFUNCTION("IMPORTRANGE(""https://docs.google.com/spreadsheets/d/1MeEWN-I1oV_STSDYn1IFDPWt_1FKiwhDph83XaGc0o0/edit?usp=sharing"",""งบพรบ!DG79"")"),0)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47" t="s">
        <v>38</v>
      </c>
      <c r="E270" s="172"/>
      <c r="F270" s="172"/>
      <c r="G270" s="173"/>
      <c r="H270" s="761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IFERROR(__xludf.DUMMYFUNCTION("IMPORTRANGE(""https://docs.google.com/spreadsheets/d/1QqKyyYR6Q21VydFLVH3TRQUabQu_ym0Zz7PgGX0-kHA/edit?usp=sharing"",""แผน!EA79"")"),16)</f>
        <v>16</v>
      </c>
      <c r="J271" s="214">
        <v>16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5">
        <v>0</v>
      </c>
      <c r="J272" s="505">
        <v>0</v>
      </c>
      <c r="K272" s="384">
        <v>0</v>
      </c>
      <c r="L272" s="384"/>
      <c r="M272" s="384"/>
      <c r="N272" s="384"/>
      <c r="O272" s="384"/>
      <c r="P272" s="384"/>
    </row>
    <row r="273" spans="1:26" ht="19.5" hidden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9">
        <f ca="1">I287</f>
        <v>0</v>
      </c>
      <c r="J276" s="409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46" t="s">
        <v>17</v>
      </c>
      <c r="E277" s="147"/>
      <c r="F277" s="147"/>
      <c r="G277" s="150"/>
      <c r="H277" s="151" t="s">
        <v>12</v>
      </c>
      <c r="I277" s="420"/>
      <c r="J277" s="420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6"/>
      <c r="J278" s="616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6"/>
      <c r="J279" s="616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IFERROR(__xludf.DUMMYFUNCTION("IMPORTRANGE(""https://docs.google.com/spreadsheets/d/1MeEWN-I1oV_STSDYn1IFDPWt_1FKiwhDph83XaGc0o0/edit?usp=sharing"",""งบพรบ!DI79"")"),0)</f>
        <v>0</v>
      </c>
      <c r="M282" s="92">
        <f ca="1">IFERROR(__xludf.DUMMYFUNCTION("IMPORTRANGE(""https://docs.google.com/spreadsheets/d/1MeEWN-I1oV_STSDYn1IFDPWt_1FKiwhDph83XaGc0o0/edit?usp=sharing"",""งบพรบ!DN79"")"),0)</f>
        <v>0</v>
      </c>
      <c r="N282" s="92">
        <f ca="1">IFERROR(__xludf.DUMMYFUNCTION("IMPORTRANGE(""https://docs.google.com/spreadsheets/d/1MeEWN-I1oV_STSDYn1IFDPWt_1FKiwhDph83XaGc0o0/edit?usp=sharing"",""งบพรบ!DP79"")"),0)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IFERROR(__xludf.DUMMYFUNCTION("IMPORTRANGE(""https://docs.google.com/spreadsheets/d/1MeEWN-I1oV_STSDYn1IFDPWt_1FKiwhDph83XaGc0o0/edit?usp=sharing"",""งบพรบ!DL79"")"),0)</f>
        <v>0</v>
      </c>
      <c r="M285" s="92">
        <f ca="1">IFERROR(__xludf.DUMMYFUNCTION("IMPORTRANGE(""https://docs.google.com/spreadsheets/d/1MeEWN-I1oV_STSDYn1IFDPWt_1FKiwhDph83XaGc0o0/edit?usp=sharing"",""งบพรบ!DO79"")"),0)</f>
        <v>0</v>
      </c>
      <c r="N285" s="92">
        <f ca="1">IFERROR(__xludf.DUMMYFUNCTION("IMPORTRANGE(""https://docs.google.com/spreadsheets/d/1MeEWN-I1oV_STSDYn1IFDPWt_1FKiwhDph83XaGc0o0/edit?usp=sharing"",""งบพรบ!DQ79"")"),0)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47" t="s">
        <v>38</v>
      </c>
      <c r="E286" s="172"/>
      <c r="F286" s="172"/>
      <c r="G286" s="173"/>
      <c r="H286" s="761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5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IFERROR(__xludf.DUMMYFUNCTION("IMPORTRANGE(""https://docs.google.com/spreadsheets/d/1QqKyyYR6Q21VydFLVH3TRQUabQu_ym0Zz7PgGX0-kHA/edit?usp=sharing"",""แผน!EC79"")"),0)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5" t="s">
        <v>130</v>
      </c>
      <c r="E288" s="170"/>
      <c r="F288" s="177"/>
      <c r="G288" s="178"/>
      <c r="H288" s="179" t="s">
        <v>35</v>
      </c>
      <c r="I288" s="680">
        <f ca="1">IFERROR(__xludf.DUMMYFUNCTION("IMPORTRANGE(""https://docs.google.com/spreadsheets/d/1QqKyyYR6Q21VydFLVH3TRQUabQu_ym0Zz7PgGX0-kHA/edit?usp=sharing"",""แผน!EB79"")"),0)</f>
        <v>0</v>
      </c>
      <c r="J288" s="680">
        <f ca="1">IF(AND(J291&gt;=I288,J294&gt;=I288),J294,0)</f>
        <v>0</v>
      </c>
      <c r="K288" s="411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2"/>
      <c r="E289" s="413" t="s">
        <v>131</v>
      </c>
      <c r="F289" s="177"/>
      <c r="G289" s="178"/>
      <c r="H289" s="763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2"/>
      <c r="E290" s="625" t="s">
        <v>132</v>
      </c>
      <c r="F290" s="177"/>
      <c r="G290" s="178"/>
      <c r="H290" s="763" t="s">
        <v>35</v>
      </c>
      <c r="I290" s="183">
        <f ca="1">IFERROR(__xludf.DUMMYFUNCTION("IMPORTRANGE(""https://docs.google.com/spreadsheets/d/1QqKyyYR6Q21VydFLVH3TRQUabQu_ym0Zz7PgGX0-kHA/edit?usp=sharing"",""แผน!EB79"")"),0)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5" t="s">
        <v>336</v>
      </c>
      <c r="F291" s="177"/>
      <c r="G291" s="178"/>
      <c r="H291" s="763" t="s">
        <v>35</v>
      </c>
      <c r="I291" s="183">
        <f ca="1">IFERROR(__xludf.DUMMYFUNCTION("IMPORTRANGE(""https://docs.google.com/spreadsheets/d/1QqKyyYR6Q21VydFLVH3TRQUabQu_ym0Zz7PgGX0-kHA/edit?usp=sharing"",""แผน!EB79"")"),0)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4"/>
      <c r="B292" s="415"/>
      <c r="C292" s="415"/>
      <c r="D292" s="416"/>
      <c r="E292" s="417" t="s">
        <v>134</v>
      </c>
      <c r="F292" s="286"/>
      <c r="G292" s="287"/>
      <c r="H292" s="418"/>
      <c r="I292" s="419"/>
      <c r="J292" s="420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2"/>
      <c r="E293" s="625" t="s">
        <v>132</v>
      </c>
      <c r="F293" s="177"/>
      <c r="G293" s="178"/>
      <c r="H293" s="763" t="s">
        <v>35</v>
      </c>
      <c r="I293" s="183">
        <f ca="1">IFERROR(__xludf.DUMMYFUNCTION("IMPORTRANGE(""https://docs.google.com/spreadsheets/d/1QqKyyYR6Q21VydFLVH3TRQUabQu_ym0Zz7PgGX0-kHA/edit?usp=sharing"",""แผน!EB79"")"),0)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33" t="s">
        <v>336</v>
      </c>
      <c r="F294" s="380"/>
      <c r="G294" s="381"/>
      <c r="H294" s="422" t="s">
        <v>35</v>
      </c>
      <c r="I294" s="423">
        <f ca="1">IFERROR(__xludf.DUMMYFUNCTION("IMPORTRANGE(""https://docs.google.com/spreadsheets/d/1QqKyyYR6Q21VydFLVH3TRQUabQu_ym0Zz7PgGX0-kHA/edit?usp=sharing"",""แผน!EB79"")"),0)</f>
        <v>0</v>
      </c>
      <c r="J294" s="424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0</v>
      </c>
      <c r="J297" s="444">
        <f>J309</f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6"/>
      <c r="B298" s="147"/>
      <c r="C298" s="148" t="s">
        <v>16</v>
      </c>
      <c r="D298" s="846" t="s">
        <v>17</v>
      </c>
      <c r="E298" s="147"/>
      <c r="F298" s="147"/>
      <c r="G298" s="150"/>
      <c r="H298" s="151" t="s">
        <v>12</v>
      </c>
      <c r="I298" s="420"/>
      <c r="J298" s="420"/>
      <c r="K298" s="153"/>
      <c r="L298" s="154">
        <f ca="1">L299+L300</f>
        <v>0</v>
      </c>
      <c r="M298" s="154">
        <f ca="1">M299+M300</f>
        <v>0</v>
      </c>
      <c r="N298" s="154">
        <f ca="1">N299+N300</f>
        <v>0</v>
      </c>
      <c r="O298" s="154">
        <f t="shared" ref="O298:O306" ca="1" si="50">IF(L298&gt;0,N298*100/L298,0)</f>
        <v>0</v>
      </c>
      <c r="P298" s="154">
        <f t="shared" ref="P298:P306" ca="1" si="51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6"/>
      <c r="J299" s="616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6"/>
      <c r="J300" s="616"/>
      <c r="K300" s="92"/>
      <c r="L300" s="92">
        <f t="shared" ca="1" si="52"/>
        <v>0</v>
      </c>
      <c r="M300" s="92">
        <f t="shared" ca="1" si="52"/>
        <v>0</v>
      </c>
      <c r="N300" s="92">
        <f t="shared" ca="1" si="52"/>
        <v>0</v>
      </c>
      <c r="O300" s="92">
        <f t="shared" ca="1" si="50"/>
        <v>0</v>
      </c>
      <c r="P300" s="92">
        <f t="shared" ca="1" si="51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0</v>
      </c>
      <c r="M301" s="497">
        <f ca="1">M302+M303</f>
        <v>0</v>
      </c>
      <c r="N301" s="497">
        <f ca="1">N302+N303</f>
        <v>0</v>
      </c>
      <c r="O301" s="497">
        <f t="shared" ca="1" si="50"/>
        <v>0</v>
      </c>
      <c r="P301" s="497">
        <f t="shared" ca="1" si="51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IFERROR(__xludf.DUMMYFUNCTION("IMPORTRANGE(""https://docs.google.com/spreadsheets/d/1MeEWN-I1oV_STSDYn1IFDPWt_1FKiwhDph83XaGc0o0/edit?usp=sharing"",""งบพรบ!DS79"")"),0)</f>
        <v>0</v>
      </c>
      <c r="M303" s="92">
        <f ca="1">IFERROR(__xludf.DUMMYFUNCTION("IMPORTRANGE(""https://docs.google.com/spreadsheets/d/1MeEWN-I1oV_STSDYn1IFDPWt_1FKiwhDph83XaGc0o0/edit?usp=sharing"",""งบพรบ!DX79"")"),0)</f>
        <v>0</v>
      </c>
      <c r="N303" s="92">
        <f ca="1">IFERROR(__xludf.DUMMYFUNCTION("IMPORTRANGE(""https://docs.google.com/spreadsheets/d/1MeEWN-I1oV_STSDYn1IFDPWt_1FKiwhDph83XaGc0o0/edit?usp=sharing"",""งบพรบ!DZ79"")"),0)</f>
        <v>0</v>
      </c>
      <c r="O303" s="92">
        <f t="shared" ca="1" si="50"/>
        <v>0</v>
      </c>
      <c r="P303" s="92">
        <f t="shared" ca="1" si="51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IFERROR(__xludf.DUMMYFUNCTION("IMPORTRANGE(""https://docs.google.com/spreadsheets/d/1MeEWN-I1oV_STSDYn1IFDPWt_1FKiwhDph83XaGc0o0/edit?usp=sharing"",""งบพรบ!DV79"")"),0)</f>
        <v>0</v>
      </c>
      <c r="M306" s="92">
        <f ca="1">IFERROR(__xludf.DUMMYFUNCTION("IMPORTRANGE(""https://docs.google.com/spreadsheets/d/1MeEWN-I1oV_STSDYn1IFDPWt_1FKiwhDph83XaGc0o0/edit?usp=sharing"",""งบพรบ!DY79"")"),0)</f>
        <v>0</v>
      </c>
      <c r="N306" s="92">
        <f ca="1">IFERROR(__xludf.DUMMYFUNCTION("IMPORTRANGE(""https://docs.google.com/spreadsheets/d/1MeEWN-I1oV_STSDYn1IFDPWt_1FKiwhDph83XaGc0o0/edit?usp=sharing"",""งบพรบ!EA79"")"),0)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47" t="s">
        <v>38</v>
      </c>
      <c r="E307" s="172"/>
      <c r="F307" s="172"/>
      <c r="G307" s="173"/>
      <c r="H307" s="761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69"/>
      <c r="B308" s="170"/>
      <c r="C308" s="170"/>
      <c r="D308" s="447" t="s">
        <v>140</v>
      </c>
      <c r="E308" s="447"/>
      <c r="F308" s="447"/>
      <c r="G308" s="178"/>
      <c r="H308" s="763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69"/>
      <c r="B309" s="170"/>
      <c r="C309" s="170"/>
      <c r="D309" s="447" t="s">
        <v>141</v>
      </c>
      <c r="E309" s="447"/>
      <c r="F309" s="447"/>
      <c r="G309" s="178"/>
      <c r="H309" s="763" t="s">
        <v>35</v>
      </c>
      <c r="I309" s="269">
        <f ca="1">IFERROR(__xludf.DUMMYFUNCTION("IMPORTRANGE(""https://docs.google.com/spreadsheets/d/1QqKyyYR6Q21VydFLVH3TRQUabQu_ym0Zz7PgGX0-kHA/edit?usp=sharing"",""แผน!ED79"")"),0)</f>
        <v>0</v>
      </c>
      <c r="J309" s="214">
        <v>0</v>
      </c>
      <c r="K309" s="497">
        <f ca="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69"/>
      <c r="B310" s="170"/>
      <c r="C310" s="170"/>
      <c r="D310" s="447" t="s">
        <v>142</v>
      </c>
      <c r="E310" s="447"/>
      <c r="F310" s="447"/>
      <c r="G310" s="178"/>
      <c r="H310" s="763" t="s">
        <v>35</v>
      </c>
      <c r="I310" s="269">
        <f ca="1">IFERROR(__xludf.DUMMYFUNCTION("IMPORTRANGE(""https://docs.google.com/spreadsheets/d/1QqKyyYR6Q21VydFLVH3TRQUabQu_ym0Zz7PgGX0-kHA/edit?usp=sharing"",""แผน!ED79"")"),0)</f>
        <v>0</v>
      </c>
      <c r="J310" s="214">
        <v>0</v>
      </c>
      <c r="K310" s="497">
        <f ca="1">IF(I310&gt;0,J310*100/I310,0)</f>
        <v>0</v>
      </c>
      <c r="L310" s="497"/>
      <c r="M310" s="497"/>
      <c r="N310" s="497"/>
      <c r="O310" s="497"/>
      <c r="P310" s="497"/>
    </row>
    <row r="311" spans="1:26" ht="18.75" hidden="1">
      <c r="A311" s="169"/>
      <c r="B311" s="170"/>
      <c r="C311" s="170"/>
      <c r="D311" s="447" t="s">
        <v>59</v>
      </c>
      <c r="E311" s="447"/>
      <c r="F311" s="447"/>
      <c r="G311" s="178"/>
      <c r="H311" s="763" t="s">
        <v>35</v>
      </c>
      <c r="I311" s="269">
        <f ca="1">IFERROR(__xludf.DUMMYFUNCTION("IMPORTRANGE(""https://docs.google.com/spreadsheets/d/1QqKyyYR6Q21VydFLVH3TRQUabQu_ym0Zz7PgGX0-kHA/edit?usp=sharing"",""แผน!ED79"")"),0)</f>
        <v>0</v>
      </c>
      <c r="J311" s="214">
        <v>0</v>
      </c>
      <c r="K311" s="497">
        <f ca="1">IF(I311&gt;0,J311*100/I311,0)</f>
        <v>0</v>
      </c>
      <c r="L311" s="497"/>
      <c r="M311" s="497"/>
      <c r="N311" s="497"/>
      <c r="O311" s="497"/>
      <c r="P311" s="497"/>
    </row>
    <row r="312" spans="1:26" ht="18.75" hidden="1">
      <c r="A312" s="169"/>
      <c r="B312" s="170"/>
      <c r="C312" s="170"/>
      <c r="D312" s="447" t="s">
        <v>143</v>
      </c>
      <c r="E312" s="447"/>
      <c r="F312" s="447"/>
      <c r="G312" s="178"/>
      <c r="H312" s="763" t="s">
        <v>35</v>
      </c>
      <c r="I312" s="269">
        <f ca="1">IFERROR(__xludf.DUMMYFUNCTION("IMPORTRANGE(""https://docs.google.com/spreadsheets/d/1QqKyyYR6Q21VydFLVH3TRQUabQu_ym0Zz7PgGX0-kHA/edit?usp=sharing"",""แผน!EE79"")"),0)</f>
        <v>0</v>
      </c>
      <c r="J312" s="214">
        <v>0</v>
      </c>
      <c r="K312" s="497">
        <f ca="1">IF(I312&gt;0,J312*100/I312,0)</f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0</v>
      </c>
      <c r="J314" s="444">
        <f>J325</f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6"/>
      <c r="B315" s="147"/>
      <c r="C315" s="148" t="s">
        <v>16</v>
      </c>
      <c r="D315" s="846" t="s">
        <v>17</v>
      </c>
      <c r="E315" s="147"/>
      <c r="F315" s="147"/>
      <c r="G315" s="150"/>
      <c r="H315" s="151" t="s">
        <v>12</v>
      </c>
      <c r="I315" s="420"/>
      <c r="J315" s="420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6"/>
      <c r="J316" s="616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6"/>
      <c r="J317" s="616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IFERROR(__xludf.DUMMYFUNCTION("IMPORTRANGE(""https://docs.google.com/spreadsheets/d/1MeEWN-I1oV_STSDYn1IFDPWt_1FKiwhDph83XaGc0o0/edit?usp=sharing"",""งบพรบ!EC79"")"),0)</f>
        <v>0</v>
      </c>
      <c r="M320" s="92">
        <f ca="1">IFERROR(__xludf.DUMMYFUNCTION("IMPORTRANGE(""https://docs.google.com/spreadsheets/d/1MeEWN-I1oV_STSDYn1IFDPWt_1FKiwhDph83XaGc0o0/edit?usp=sharing"",""งบพรบ!EH79"")"),0)</f>
        <v>0</v>
      </c>
      <c r="N320" s="92">
        <f ca="1">IFERROR(__xludf.DUMMYFUNCTION("IMPORTRANGE(""https://docs.google.com/spreadsheets/d/1MeEWN-I1oV_STSDYn1IFDPWt_1FKiwhDph83XaGc0o0/edit?usp=sharing"",""งบพรบ!EJ79"")"),0)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IFERROR(__xludf.DUMMYFUNCTION("IMPORTRANGE(""https://docs.google.com/spreadsheets/d/1MeEWN-I1oV_STSDYn1IFDPWt_1FKiwhDph83XaGc0o0/edit?usp=sharing"",""งบพรบ!EF79"")"),0)</f>
        <v>0</v>
      </c>
      <c r="M323" s="92">
        <f ca="1">IFERROR(__xludf.DUMMYFUNCTION("IMPORTRANGE(""https://docs.google.com/spreadsheets/d/1MeEWN-I1oV_STSDYn1IFDPWt_1FKiwhDph83XaGc0o0/edit?usp=sharing"",""งบพรบ!EI79"")"),0)</f>
        <v>0</v>
      </c>
      <c r="N323" s="92">
        <f ca="1">IFERROR(__xludf.DUMMYFUNCTION("IMPORTRANGE(""https://docs.google.com/spreadsheets/d/1MeEWN-I1oV_STSDYn1IFDPWt_1FKiwhDph83XaGc0o0/edit?usp=sharing"",""งบพรบ!EK79"")"),0)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47" t="s">
        <v>38</v>
      </c>
      <c r="E324" s="172"/>
      <c r="F324" s="172"/>
      <c r="G324" s="173"/>
      <c r="H324" s="761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7"/>
      <c r="G325" s="178"/>
      <c r="H325" s="622" t="s">
        <v>146</v>
      </c>
      <c r="I325" s="269">
        <f ca="1">IFERROR(__xludf.DUMMYFUNCTION("IMPORTRANGE(""https://docs.google.com/spreadsheets/d/1QqKyyYR6Q21VydFLVH3TRQUabQu_ym0Zz7PgGX0-kHA/edit?usp=sharing"",""แผน!EF79"")"),0)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IFERROR(__xludf.DUMMYFUNCTION("IMPORTRANGE(""https://docs.google.com/spreadsheets/d/1QqKyyYR6Q21VydFLVH3TRQUabQu_ym0Zz7PgGX0-kHA/edit?usp=sharing"",""แผน!EG79"")"),300)</f>
        <v>300</v>
      </c>
      <c r="J327" s="444">
        <f ca="1">J338+J341+J342+J343</f>
        <v>757</v>
      </c>
      <c r="K327" s="445">
        <f ca="1">IF(I327&gt;0,J327*100/I327,0)</f>
        <v>252.33333333333334</v>
      </c>
      <c r="L327" s="446"/>
      <c r="M327" s="446"/>
      <c r="N327" s="446"/>
      <c r="O327" s="446"/>
      <c r="P327" s="446"/>
    </row>
    <row r="328" spans="1:26" ht="19.5">
      <c r="A328" s="146"/>
      <c r="B328" s="147"/>
      <c r="C328" s="148" t="s">
        <v>16</v>
      </c>
      <c r="D328" s="846" t="s">
        <v>17</v>
      </c>
      <c r="E328" s="147"/>
      <c r="F328" s="147"/>
      <c r="G328" s="150"/>
      <c r="H328" s="151" t="s">
        <v>12</v>
      </c>
      <c r="I328" s="420"/>
      <c r="J328" s="420"/>
      <c r="K328" s="153"/>
      <c r="L328" s="154">
        <f ca="1">L329+L330</f>
        <v>157000</v>
      </c>
      <c r="M328" s="154">
        <f ca="1">M329+M330</f>
        <v>159500</v>
      </c>
      <c r="N328" s="154">
        <f ca="1">N329+N330</f>
        <v>159500</v>
      </c>
      <c r="O328" s="154">
        <f t="shared" ref="O328:O336" ca="1" si="56">IF(L328&gt;0,N328*100/L328,0)</f>
        <v>101.59235668789809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6"/>
      <c r="J329" s="616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6"/>
      <c r="J330" s="616"/>
      <c r="K330" s="92"/>
      <c r="L330" s="92">
        <f t="shared" ca="1" si="58"/>
        <v>157000</v>
      </c>
      <c r="M330" s="92">
        <f t="shared" ca="1" si="58"/>
        <v>159500</v>
      </c>
      <c r="N330" s="92">
        <f t="shared" ca="1" si="58"/>
        <v>159500</v>
      </c>
      <c r="O330" s="92">
        <f t="shared" ca="1" si="56"/>
        <v>101.59235668789809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157000</v>
      </c>
      <c r="M331" s="497">
        <f ca="1">M332+M333</f>
        <v>159500</v>
      </c>
      <c r="N331" s="497">
        <f ca="1">N332+N333</f>
        <v>159500</v>
      </c>
      <c r="O331" s="497">
        <f t="shared" ca="1" si="56"/>
        <v>101.59235668789809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IFERROR(__xludf.DUMMYFUNCTION("IMPORTRANGE(""https://docs.google.com/spreadsheets/d/1MeEWN-I1oV_STSDYn1IFDPWt_1FKiwhDph83XaGc0o0/edit?usp=sharing"",""งบพรบ!EM79"")"),157000)</f>
        <v>157000</v>
      </c>
      <c r="M333" s="92">
        <f ca="1">IFERROR(__xludf.DUMMYFUNCTION("IMPORTRANGE(""https://docs.google.com/spreadsheets/d/1MeEWN-I1oV_STSDYn1IFDPWt_1FKiwhDph83XaGc0o0/edit?usp=sharing"",""งบพรบ!ER79"")"),159500)</f>
        <v>159500</v>
      </c>
      <c r="N333" s="92">
        <f ca="1">IFERROR(__xludf.DUMMYFUNCTION("IMPORTRANGE(""https://docs.google.com/spreadsheets/d/1MeEWN-I1oV_STSDYn1IFDPWt_1FKiwhDph83XaGc0o0/edit?usp=sharing"",""งบพรบ!ET79"")"),159500)</f>
        <v>159500</v>
      </c>
      <c r="O333" s="92">
        <f t="shared" ca="1" si="56"/>
        <v>101.59235668789809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IFERROR(__xludf.DUMMYFUNCTION("IMPORTRANGE(""https://docs.google.com/spreadsheets/d/1MeEWN-I1oV_STSDYn1IFDPWt_1FKiwhDph83XaGc0o0/edit?usp=sharing"",""งบพรบ!EP79"")"),0)</f>
        <v>0</v>
      </c>
      <c r="M336" s="92">
        <f ca="1">IFERROR(__xludf.DUMMYFUNCTION("IMPORTRANGE(""https://docs.google.com/spreadsheets/d/1MeEWN-I1oV_STSDYn1IFDPWt_1FKiwhDph83XaGc0o0/edit?usp=sharing"",""งบพรบ!ES79"")"),0)</f>
        <v>0</v>
      </c>
      <c r="N336" s="92">
        <f ca="1">IFERROR(__xludf.DUMMYFUNCTION("IMPORTRANGE(""https://docs.google.com/spreadsheets/d/1MeEWN-I1oV_STSDYn1IFDPWt_1FKiwhDph83XaGc0o0/edit?usp=sharing"",""งบพรบ!EU79"")"),0)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4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61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3"/>
      <c r="B338" s="32"/>
      <c r="C338" s="280"/>
      <c r="D338" s="447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IFERROR(__xludf.DUMMYFUNCTION("IMPORTRANGE(""https://docs.google.com/spreadsheets/d/1QqKyyYR6Q21VydFLVH3TRQUabQu_ym0Zz7PgGX0-kHA/edit?usp=sharing"",""แผน!EG79"")"),300)</f>
        <v>300</v>
      </c>
      <c r="J338" s="269">
        <f ca="1">IFERROR(__xludf.DUMMYFUNCTION("IMPORTRANGE(""https://docs.google.com/spreadsheets/d/1kVcqe37tkHyjCSG3S0O1AXqVkqjo8mSIZil3BcpIysc/edit?usp=sharing"",""ศูนย์!D79"")"),516)</f>
        <v>516</v>
      </c>
      <c r="K338" s="497">
        <f ca="1">IF(I338&gt;0,J338*100/I338,0)</f>
        <v>172</v>
      </c>
      <c r="L338" s="497"/>
      <c r="M338" s="497"/>
      <c r="N338" s="497"/>
      <c r="O338" s="497"/>
      <c r="P338" s="497"/>
    </row>
    <row r="339" spans="1:26" ht="18.75">
      <c r="A339" s="283"/>
      <c r="B339" s="32"/>
      <c r="C339" s="280"/>
      <c r="D339" s="447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3"/>
      <c r="B340" s="32"/>
      <c r="C340" s="280"/>
      <c r="D340" s="177"/>
      <c r="E340" s="447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IFERROR(__xludf.DUMMYFUNCTION("IMPORTRANGE(""https://docs.google.com/spreadsheets/d/1QqKyyYR6Q21VydFLVH3TRQUabQu_ym0Zz7PgGX0-kHA/edit?usp=sharing"",""แผน!EH73"")"),2)</f>
        <v>2</v>
      </c>
      <c r="J340" s="269">
        <f ca="1">IFERROR(__xludf.DUMMYFUNCTION("IMPORTRANGE(""https://docs.google.com/spreadsheets/d/1kVcqe37tkHyjCSG3S0O1AXqVkqjo8mSIZil3BcpIysc/edit?usp=sharing"",""ศูนย์!E79"")"),2)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3"/>
      <c r="B341" s="32"/>
      <c r="C341" s="280"/>
      <c r="D341" s="177"/>
      <c r="E341" s="447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IFERROR(__xludf.DUMMYFUNCTION("IMPORTRANGE(""https://docs.google.com/spreadsheets/d/1kVcqe37tkHyjCSG3S0O1AXqVkqjo8mSIZil3BcpIysc/edit?usp=sharing"",""ศูนย์!F79"")"),235)</f>
        <v>235</v>
      </c>
      <c r="K341" s="497"/>
      <c r="L341" s="497"/>
      <c r="M341" s="497"/>
      <c r="N341" s="497"/>
      <c r="O341" s="497"/>
      <c r="P341" s="497"/>
    </row>
    <row r="342" spans="1:26" ht="18.75">
      <c r="A342" s="283"/>
      <c r="B342" s="32"/>
      <c r="C342" s="280"/>
      <c r="D342" s="447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IFERROR(__xludf.DUMMYFUNCTION("IMPORTRANGE(""https://docs.google.com/spreadsheets/d/1kVcqe37tkHyjCSG3S0O1AXqVkqjo8mSIZil3BcpIysc/edit?usp=sharing"",""ศูนย์!G79"")"),6)</f>
        <v>6</v>
      </c>
      <c r="K342" s="497"/>
      <c r="L342" s="497"/>
      <c r="M342" s="497"/>
      <c r="N342" s="497"/>
      <c r="O342" s="497"/>
      <c r="P342" s="497"/>
    </row>
    <row r="343" spans="1:26" ht="18.75">
      <c r="A343" s="283"/>
      <c r="B343" s="32"/>
      <c r="C343" s="280"/>
      <c r="D343" s="447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IFERROR(__xludf.DUMMYFUNCTION("IMPORTRANGE(""https://docs.google.com/spreadsheets/d/1kVcqe37tkHyjCSG3S0O1AXqVkqjo8mSIZil3BcpIysc/edit?usp=sharing"",""ศูนย์!H79"")"),0)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6"/>
      <c r="B345" s="147"/>
      <c r="C345" s="148" t="s">
        <v>16</v>
      </c>
      <c r="D345" s="846" t="s">
        <v>17</v>
      </c>
      <c r="E345" s="147"/>
      <c r="F345" s="147"/>
      <c r="G345" s="150"/>
      <c r="H345" s="151" t="s">
        <v>12</v>
      </c>
      <c r="I345" s="420"/>
      <c r="J345" s="420"/>
      <c r="K345" s="153"/>
      <c r="L345" s="154">
        <f ca="1">L346+L347</f>
        <v>396570</v>
      </c>
      <c r="M345" s="154">
        <f ca="1">M346+M347</f>
        <v>449070</v>
      </c>
      <c r="N345" s="154">
        <f ca="1">N346+N347</f>
        <v>449070</v>
      </c>
      <c r="O345" s="154">
        <f t="shared" ref="O345:O353" ca="1" si="59">IF(L345&gt;0,N345*100/L345,0)</f>
        <v>113.23852031167259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6"/>
      <c r="J346" s="616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6"/>
      <c r="J347" s="616"/>
      <c r="K347" s="92"/>
      <c r="L347" s="92">
        <f t="shared" ca="1" si="61"/>
        <v>396570</v>
      </c>
      <c r="M347" s="92">
        <f t="shared" ca="1" si="61"/>
        <v>449070</v>
      </c>
      <c r="N347" s="92">
        <f t="shared" ca="1" si="61"/>
        <v>449070</v>
      </c>
      <c r="O347" s="92">
        <f t="shared" ca="1" si="59"/>
        <v>113.23852031167259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305770</v>
      </c>
      <c r="M348" s="497">
        <f ca="1">M349+M350</f>
        <v>358270</v>
      </c>
      <c r="N348" s="497">
        <f ca="1">N349+N350</f>
        <v>358270</v>
      </c>
      <c r="O348" s="497">
        <f t="shared" ca="1" si="59"/>
        <v>117.16976812636949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IFERROR(__xludf.DUMMYFUNCTION("IMPORTRANGE(""https://docs.google.com/spreadsheets/d/1MeEWN-I1oV_STSDYn1IFDPWt_1FKiwhDph83XaGc0o0/edit?usp=sharing"",""งบพรบ!EW79"")"),305770)</f>
        <v>305770</v>
      </c>
      <c r="M350" s="92">
        <f ca="1">IFERROR(__xludf.DUMMYFUNCTION("IMPORTRANGE(""https://docs.google.com/spreadsheets/d/1MeEWN-I1oV_STSDYn1IFDPWt_1FKiwhDph83XaGc0o0/edit?usp=sharing"",""งบพรบ!FB79"")"),358270)</f>
        <v>358270</v>
      </c>
      <c r="N350" s="92">
        <f ca="1">IFERROR(__xludf.DUMMYFUNCTION("IMPORTRANGE(""https://docs.google.com/spreadsheets/d/1MeEWN-I1oV_STSDYn1IFDPWt_1FKiwhDph83XaGc0o0/edit?usp=sharing"",""งบพรบ!FD79"")"),358270)</f>
        <v>358270</v>
      </c>
      <c r="O350" s="92">
        <f t="shared" ca="1" si="59"/>
        <v>117.16976812636949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90800</v>
      </c>
      <c r="M351" s="497">
        <f ca="1">M352+M353</f>
        <v>90800</v>
      </c>
      <c r="N351" s="497">
        <f ca="1">N352+N353</f>
        <v>90800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IFERROR(__xludf.DUMMYFUNCTION("IMPORTRANGE(""https://docs.google.com/spreadsheets/d/1MeEWN-I1oV_STSDYn1IFDPWt_1FKiwhDph83XaGc0o0/edit?usp=sharing"",""งบพรบ!EZ79"")"),90800)</f>
        <v>90800</v>
      </c>
      <c r="M353" s="92">
        <f ca="1">IFERROR(__xludf.DUMMYFUNCTION("IMPORTRANGE(""https://docs.google.com/spreadsheets/d/1MeEWN-I1oV_STSDYn1IFDPWt_1FKiwhDph83XaGc0o0/edit?usp=sharing"",""งบพรบ!FC79"")"),90800)</f>
        <v>90800</v>
      </c>
      <c r="N353" s="92">
        <f ca="1">IFERROR(__xludf.DUMMYFUNCTION("IMPORTRANGE(""https://docs.google.com/spreadsheets/d/1MeEWN-I1oV_STSDYn1IFDPWt_1FKiwhDph83XaGc0o0/edit?usp=sharing"",""งบพรบ!FE79"")"),90800)</f>
        <v>90800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1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IFERROR(__xludf.DUMMYFUNCTION("IMPORTRANGE(""https://docs.google.com/spreadsheets/d/1QqKyyYR6Q21VydFLVH3TRQUabQu_ym0Zz7PgGX0-kHA/edit?usp=sharing"",""แผน!EP79"")"),27)</f>
        <v>27</v>
      </c>
      <c r="J355" s="464">
        <f ca="1">J362</f>
        <v>33</v>
      </c>
      <c r="K355" s="465">
        <f ca="1">IF(I355&gt;0,J355*100/I355,0)</f>
        <v>122.22222222222223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47" t="s">
        <v>38</v>
      </c>
      <c r="E357" s="172"/>
      <c r="F357" s="172"/>
      <c r="G357" s="173"/>
      <c r="H357" s="761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IFERROR(__xludf.DUMMYFUNCTION("IMPORTRANGE(""https://docs.google.com/spreadsheets/d/1XWAQStnk-4SwqDmLtmXYiTMKHgktTP8We1SCoS47DrQ/edit?usp=sharing"",""จัดที่ดิน!W79"")"),31)</f>
        <v>31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IFERROR(__xludf.DUMMYFUNCTION("IMPORTRANGE(""https://docs.google.com/spreadsheets/d/1QqKyyYR6Q21VydFLVH3TRQUabQu_ym0Zz7PgGX0-kHA/edit?usp=sharing"",""แผน!EO79"")"),90)</f>
        <v>90</v>
      </c>
      <c r="J359" s="269">
        <f ca="1">IFERROR(__xludf.DUMMYFUNCTION("IMPORTRANGE(""https://docs.google.com/spreadsheets/d/1XWAQStnk-4SwqDmLtmXYiTMKHgktTP8We1SCoS47DrQ/edit?usp=sharing"",""จัดที่ดิน!X79"")"),71.96)</f>
        <v>71.959999999999994</v>
      </c>
      <c r="K359" s="497">
        <f t="shared" ca="1" si="62"/>
        <v>79.955555555555549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63" t="s">
        <v>35</v>
      </c>
      <c r="I360" s="269">
        <f ca="1">IFERROR(__xludf.DUMMYFUNCTION("IMPORTRANGE(""https://docs.google.com/spreadsheets/d/1QqKyyYR6Q21VydFLVH3TRQUabQu_ym0Zz7PgGX0-kHA/edit?usp=sharing"",""แผน!EP79"")"),27)</f>
        <v>27</v>
      </c>
      <c r="J360" s="269">
        <f ca="1">IFERROR(__xludf.DUMMYFUNCTION("IMPORTRANGE(""https://docs.google.com/spreadsheets/d/1XWAQStnk-4SwqDmLtmXYiTMKHgktTP8We1SCoS47DrQ/edit?usp=sharing"",""จัดที่ดิน!Y79"")"),33)</f>
        <v>33</v>
      </c>
      <c r="K360" s="497">
        <f t="shared" ca="1" si="62"/>
        <v>122.22222222222223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63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IFERROR(__xludf.DUMMYFUNCTION("IMPORTRANGE(""https://docs.google.com/spreadsheets/d/1XWAQStnk-4SwqDmLtmXYiTMKHgktTP8We1SCoS47DrQ/edit?usp=sharing"",""จัดที่ดิน!Z79"")"),74.1)</f>
        <v>74.099999999999994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63" t="s">
        <v>35</v>
      </c>
      <c r="I362" s="269">
        <f ca="1">IFERROR(__xludf.DUMMYFUNCTION("IMPORTRANGE(""https://docs.google.com/spreadsheets/d/1QqKyyYR6Q21VydFLVH3TRQUabQu_ym0Zz7PgGX0-kHA/edit?usp=sharing"",""แผน!EP79"")"),27)</f>
        <v>27</v>
      </c>
      <c r="J362" s="269">
        <f ca="1">IFERROR(__xludf.DUMMYFUNCTION("IMPORTRANGE(""https://docs.google.com/spreadsheets/d/1XWAQStnk-4SwqDmLtmXYiTMKHgktTP8We1SCoS47DrQ/edit?usp=sharing"",""จัดที่ดิน!AA79"")"),33)</f>
        <v>33</v>
      </c>
      <c r="K362" s="497">
        <f t="shared" ca="1" si="62"/>
        <v>122.22222222222223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7"/>
      <c r="F363" s="177"/>
      <c r="G363" s="178"/>
      <c r="H363" s="763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IFERROR(__xludf.DUMMYFUNCTION("IMPORTRANGE(""https://docs.google.com/spreadsheets/d/1XWAQStnk-4SwqDmLtmXYiTMKHgktTP8We1SCoS47DrQ/edit?usp=sharing"",""จัดที่ดิน!AB79"")"),74.1)</f>
        <v>74.099999999999994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42</v>
      </c>
      <c r="J364" s="478">
        <f ca="1">J365+J374</f>
        <v>50</v>
      </c>
      <c r="K364" s="479">
        <f t="shared" ca="1" si="62"/>
        <v>119.04761904761905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IFERROR(__xludf.DUMMYFUNCTION("IMPORTRANGE(""https://docs.google.com/spreadsheets/d/1QqKyyYR6Q21VydFLVH3TRQUabQu_ym0Zz7PgGX0-kHA/edit?usp=sharing"",""แผน!EJ79"")"),17)</f>
        <v>17</v>
      </c>
      <c r="J365" s="490">
        <f ca="1">J372</f>
        <v>22</v>
      </c>
      <c r="K365" s="491">
        <f t="shared" ca="1" si="62"/>
        <v>129.41176470588235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47" t="s">
        <v>38</v>
      </c>
      <c r="E367" s="172"/>
      <c r="F367" s="172"/>
      <c r="G367" s="173"/>
      <c r="H367" s="761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IFERROR(__xludf.DUMMYFUNCTION("IMPORTRANGE(""https://docs.google.com/spreadsheets/d/1XWAQStnk-4SwqDmLtmXYiTMKHgktTP8We1SCoS47DrQ/edit?usp=sharing"",""จัดที่ดิน!E79"")"),21)</f>
        <v>21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IFERROR(__xludf.DUMMYFUNCTION("IMPORTRANGE(""https://docs.google.com/spreadsheets/d/1QqKyyYR6Q21VydFLVH3TRQUabQu_ym0Zz7PgGX0-kHA/edit?usp=sharing"",""แผน!EI79"")"),50)</f>
        <v>50</v>
      </c>
      <c r="J369" s="269">
        <f ca="1">IFERROR(__xludf.DUMMYFUNCTION("IMPORTRANGE(""https://docs.google.com/spreadsheets/d/1XWAQStnk-4SwqDmLtmXYiTMKHgktTP8We1SCoS47DrQ/edit?usp=sharing"",""จัดที่ดิน!F79"")"),50.55)</f>
        <v>50.55</v>
      </c>
      <c r="K369" s="497">
        <f t="shared" ca="1" si="63"/>
        <v>101.1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63" t="s">
        <v>35</v>
      </c>
      <c r="I370" s="269">
        <f ca="1">IFERROR(__xludf.DUMMYFUNCTION("IMPORTRANGE(""https://docs.google.com/spreadsheets/d/1QqKyyYR6Q21VydFLVH3TRQUabQu_ym0Zz7PgGX0-kHA/edit?usp=sharing"",""แผน!EJ79"")"),17)</f>
        <v>17</v>
      </c>
      <c r="J370" s="269">
        <f ca="1">IFERROR(__xludf.DUMMYFUNCTION("IMPORTRANGE(""https://docs.google.com/spreadsheets/d/1XWAQStnk-4SwqDmLtmXYiTMKHgktTP8We1SCoS47DrQ/edit?usp=sharing"",""จัดที่ดิน!G79"")"),22)</f>
        <v>22</v>
      </c>
      <c r="K370" s="497">
        <f t="shared" ca="1" si="63"/>
        <v>129.41176470588235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63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IFERROR(__xludf.DUMMYFUNCTION("IMPORTRANGE(""https://docs.google.com/spreadsheets/d/1XWAQStnk-4SwqDmLtmXYiTMKHgktTP8We1SCoS47DrQ/edit?usp=sharing"",""จัดที่ดิน!H79"")"),51.45)</f>
        <v>51.45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63" t="s">
        <v>35</v>
      </c>
      <c r="I372" s="269">
        <f ca="1">IFERROR(__xludf.DUMMYFUNCTION("IMPORTRANGE(""https://docs.google.com/spreadsheets/d/1QqKyyYR6Q21VydFLVH3TRQUabQu_ym0Zz7PgGX0-kHA/edit?usp=sharing"",""แผน!EJ79"")"),17)</f>
        <v>17</v>
      </c>
      <c r="J372" s="269">
        <f ca="1">IFERROR(__xludf.DUMMYFUNCTION("IMPORTRANGE(""https://docs.google.com/spreadsheets/d/1XWAQStnk-4SwqDmLtmXYiTMKHgktTP8We1SCoS47DrQ/edit?usp=sharing"",""จัดที่ดิน!I79"")"),22)</f>
        <v>22</v>
      </c>
      <c r="K372" s="497">
        <f t="shared" ca="1" si="63"/>
        <v>129.41176470588235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7"/>
      <c r="C373" s="170"/>
      <c r="D373" s="177"/>
      <c r="E373" s="447"/>
      <c r="F373" s="177"/>
      <c r="G373" s="178"/>
      <c r="H373" s="763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IFERROR(__xludf.DUMMYFUNCTION("IMPORTRANGE(""https://docs.google.com/spreadsheets/d/1XWAQStnk-4SwqDmLtmXYiTMKHgktTP8We1SCoS47DrQ/edit?usp=sharing"",""จัดที่ดิน!J79"")"),51.45)</f>
        <v>51.45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IFERROR(__xludf.DUMMYFUNCTION("IMPORTRANGE(""https://docs.google.com/spreadsheets/d/1QqKyyYR6Q21VydFLVH3TRQUabQu_ym0Zz7PgGX0-kHA/edit?usp=sharing"",""แผน!EU79"")"),25)</f>
        <v>25</v>
      </c>
      <c r="J374" s="490">
        <f ca="1">J381</f>
        <v>28</v>
      </c>
      <c r="K374" s="491">
        <f t="shared" ca="1" si="63"/>
        <v>112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47" t="s">
        <v>38</v>
      </c>
      <c r="E376" s="172"/>
      <c r="F376" s="172"/>
      <c r="G376" s="173"/>
      <c r="H376" s="761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IFERROR(__xludf.DUMMYFUNCTION("IMPORTRANGE(""https://docs.google.com/spreadsheets/d/1XWAQStnk-4SwqDmLtmXYiTMKHgktTP8We1SCoS47DrQ/edit?usp=sharing"",""จัดที่ดิน!AH79"")"),10)</f>
        <v>10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IFERROR(__xludf.DUMMYFUNCTION("IMPORTRANGE(""https://docs.google.com/spreadsheets/d/1QqKyyYR6Q21VydFLVH3TRQUabQu_ym0Zz7PgGX0-kHA/edit?usp=sharing"",""แผน!ET79"")"),40)</f>
        <v>40</v>
      </c>
      <c r="J378" s="269">
        <f ca="1">IFERROR(__xludf.DUMMYFUNCTION("IMPORTRANGE(""https://docs.google.com/spreadsheets/d/1XWAQStnk-4SwqDmLtmXYiTMKHgktTP8We1SCoS47DrQ/edit?usp=sharing"",""จัดที่ดิน!AI79"")"),21.41)</f>
        <v>21.41</v>
      </c>
      <c r="K378" s="497">
        <f t="shared" ca="1" si="64"/>
        <v>53.524999999999999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63" t="s">
        <v>35</v>
      </c>
      <c r="I379" s="269">
        <f ca="1">IFERROR(__xludf.DUMMYFUNCTION("IMPORTRANGE(""https://docs.google.com/spreadsheets/d/1QqKyyYR6Q21VydFLVH3TRQUabQu_ym0Zz7PgGX0-kHA/edit?usp=sharing"",""แผน!EU79"")"),25)</f>
        <v>25</v>
      </c>
      <c r="J379" s="269">
        <f ca="1">IFERROR(__xludf.DUMMYFUNCTION("IMPORTRANGE(""https://docs.google.com/spreadsheets/d/1XWAQStnk-4SwqDmLtmXYiTMKHgktTP8We1SCoS47DrQ/edit?usp=sharing"",""จัดที่ดิน!AJ79"")"),28)</f>
        <v>28</v>
      </c>
      <c r="K379" s="497">
        <f t="shared" ca="1" si="64"/>
        <v>112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63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IFERROR(__xludf.DUMMYFUNCTION("IMPORTRANGE(""https://docs.google.com/spreadsheets/d/1XWAQStnk-4SwqDmLtmXYiTMKHgktTP8We1SCoS47DrQ/edit?usp=sharing"",""จัดที่ดิน!AK79"")"),123.639999999999)</f>
        <v>123.63999999999901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63" t="s">
        <v>35</v>
      </c>
      <c r="I381" s="269">
        <f ca="1">IFERROR(__xludf.DUMMYFUNCTION("IMPORTRANGE(""https://docs.google.com/spreadsheets/d/1QqKyyYR6Q21VydFLVH3TRQUabQu_ym0Zz7PgGX0-kHA/edit?usp=sharing"",""แผน!EU79"")"),25)</f>
        <v>25</v>
      </c>
      <c r="J381" s="269">
        <f ca="1">IFERROR(__xludf.DUMMYFUNCTION("IMPORTRANGE(""https://docs.google.com/spreadsheets/d/1XWAQStnk-4SwqDmLtmXYiTMKHgktTP8We1SCoS47DrQ/edit?usp=sharing"",""จัดที่ดิน!AL79"")"),28)</f>
        <v>28</v>
      </c>
      <c r="K381" s="497">
        <f t="shared" ca="1" si="64"/>
        <v>112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7"/>
      <c r="C382" s="170"/>
      <c r="D382" s="177"/>
      <c r="E382" s="447"/>
      <c r="F382" s="177"/>
      <c r="G382" s="178"/>
      <c r="H382" s="763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IFERROR(__xludf.DUMMYFUNCTION("IMPORTRANGE(""https://docs.google.com/spreadsheets/d/1XWAQStnk-4SwqDmLtmXYiTMKHgktTP8We1SCoS47DrQ/edit?usp=sharing"",""จัดที่ดิน!AM79"")"),123.639999999999)</f>
        <v>123.63999999999901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498"/>
      <c r="B383" s="499"/>
      <c r="C383" s="290"/>
      <c r="D383" s="849" t="s">
        <v>169</v>
      </c>
      <c r="E383" s="290"/>
      <c r="F383" s="290"/>
      <c r="G383" s="501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4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761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503" t="s">
        <v>170</v>
      </c>
      <c r="F385" s="380"/>
      <c r="G385" s="381"/>
      <c r="H385" s="504" t="s">
        <v>35</v>
      </c>
      <c r="I385" s="505">
        <f ca="1">IFERROR(__xludf.DUMMYFUNCTION("IMPORTRANGE(""https://docs.google.com/spreadsheets/d/1QqKyyYR6Q21VydFLVH3TRQUabQu_ym0Zz7PgGX0-kHA/edit?usp=sharing"",""แผน!EW79"")"),0)</f>
        <v>0</v>
      </c>
      <c r="J385" s="505">
        <f ca="1">IFERROR(__xludf.DUMMYFUNCTION("IMPORTRANGE(""https://docs.google.com/spreadsheets/d/1XWAQStnk-4SwqDmLtmXYiTMKHgktTP8We1SCoS47DrQ/edit?usp=sharing"",""จัดที่ดิน!AP79"")"),0)</f>
        <v>0</v>
      </c>
      <c r="K385" s="506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7" t="s">
        <v>171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172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173</v>
      </c>
      <c r="C388" s="522"/>
      <c r="D388" s="523"/>
      <c r="E388" s="523"/>
      <c r="F388" s="523"/>
      <c r="G388" s="524"/>
      <c r="H388" s="525" t="s">
        <v>66</v>
      </c>
      <c r="I388" s="526">
        <f>I400</f>
        <v>0</v>
      </c>
      <c r="J388" s="526">
        <f>J400</f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6"/>
      <c r="B389" s="147"/>
      <c r="C389" s="148" t="s">
        <v>16</v>
      </c>
      <c r="D389" s="846" t="s">
        <v>17</v>
      </c>
      <c r="E389" s="147"/>
      <c r="F389" s="147"/>
      <c r="G389" s="150"/>
      <c r="H389" s="151" t="s">
        <v>12</v>
      </c>
      <c r="I389" s="420"/>
      <c r="J389" s="420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6"/>
      <c r="J390" s="616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6"/>
      <c r="J391" s="616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IFERROR(__xludf.DUMMYFUNCTION("IMPORTRANGE(""https://docs.google.com/spreadsheets/d/1MeEWN-I1oV_STSDYn1IFDPWt_1FKiwhDph83XaGc0o0/edit?usp=sharing"",""งบพรบ!FG79"")"),0)</f>
        <v>0</v>
      </c>
      <c r="M394" s="92">
        <f ca="1">IFERROR(__xludf.DUMMYFUNCTION("IMPORTRANGE(""https://docs.google.com/spreadsheets/d/1MeEWN-I1oV_STSDYn1IFDPWt_1FKiwhDph83XaGc0o0/edit?usp=sharing"",""งบพรบ!FL79"")"),0)</f>
        <v>0</v>
      </c>
      <c r="N394" s="92">
        <f ca="1">IFERROR(__xludf.DUMMYFUNCTION("IMPORTRANGE(""https://docs.google.com/spreadsheets/d/1MeEWN-I1oV_STSDYn1IFDPWt_1FKiwhDph83XaGc0o0/edit?usp=sharing"",""งบพรบ!FN79"")"),0)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IFERROR(__xludf.DUMMYFUNCTION("IMPORTRANGE(""https://docs.google.com/spreadsheets/d/1MeEWN-I1oV_STSDYn1IFDPWt_1FKiwhDph83XaGc0o0/edit?usp=sharing"",""งบพรบ!FJ79"")"),0)</f>
        <v>0</v>
      </c>
      <c r="M397" s="92">
        <f ca="1">IFERROR(__xludf.DUMMYFUNCTION("IMPORTRANGE(""https://docs.google.com/spreadsheets/d/1MeEWN-I1oV_STSDYn1IFDPWt_1FKiwhDph83XaGc0o0/edit?usp=sharing"",""งบพรบ!FM79"")"),0)</f>
        <v>0</v>
      </c>
      <c r="N397" s="92">
        <f ca="1">IFERROR(__xludf.DUMMYFUNCTION("IMPORTRANGE(""https://docs.google.com/spreadsheets/d/1MeEWN-I1oV_STSDYn1IFDPWt_1FKiwhDph83XaGc0o0/edit?usp=sharing"",""งบพรบ!FO79"")"),0)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47" t="s">
        <v>38</v>
      </c>
      <c r="E398" s="172"/>
      <c r="F398" s="172"/>
      <c r="G398" s="173"/>
      <c r="H398" s="761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9"/>
      <c r="B399" s="147"/>
      <c r="C399" s="530"/>
      <c r="D399" s="531" t="s">
        <v>174</v>
      </c>
      <c r="E399" s="415"/>
      <c r="F399" s="147"/>
      <c r="G399" s="150"/>
      <c r="H399" s="532" t="s">
        <v>9</v>
      </c>
      <c r="I399" s="269">
        <v>0</v>
      </c>
      <c r="J399" s="214">
        <v>0</v>
      </c>
      <c r="K399" s="497">
        <f>IF(I399&gt;0,J399*100/I399,0)</f>
        <v>0</v>
      </c>
      <c r="L399" s="533"/>
      <c r="M399" s="533"/>
      <c r="N399" s="533"/>
      <c r="O399" s="533"/>
      <c r="P399" s="533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3"/>
      <c r="B400" s="32"/>
      <c r="C400" s="280"/>
      <c r="D400" s="447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20"/>
      <c r="B401" s="521" t="s">
        <v>176</v>
      </c>
      <c r="C401" s="522"/>
      <c r="D401" s="523"/>
      <c r="E401" s="523"/>
      <c r="F401" s="523"/>
      <c r="G401" s="524"/>
      <c r="H401" s="525" t="s">
        <v>66</v>
      </c>
      <c r="I401" s="526">
        <f>I412</f>
        <v>0</v>
      </c>
      <c r="J401" s="526">
        <f>J412</f>
        <v>0</v>
      </c>
      <c r="K401" s="527">
        <f>IF(I401&gt;0,J401*100/I401,0)</f>
        <v>0</v>
      </c>
      <c r="L401" s="528"/>
      <c r="M401" s="528"/>
      <c r="N401" s="528"/>
      <c r="O401" s="528"/>
      <c r="P401" s="528"/>
    </row>
    <row r="402" spans="1:26" ht="19.5" hidden="1">
      <c r="A402" s="146"/>
      <c r="B402" s="147"/>
      <c r="C402" s="148" t="s">
        <v>16</v>
      </c>
      <c r="D402" s="846" t="s">
        <v>17</v>
      </c>
      <c r="E402" s="147"/>
      <c r="F402" s="147"/>
      <c r="G402" s="150"/>
      <c r="H402" s="151" t="s">
        <v>12</v>
      </c>
      <c r="I402" s="420"/>
      <c r="J402" s="420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6"/>
      <c r="J403" s="616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6"/>
      <c r="J404" s="616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IFERROR(__xludf.DUMMYFUNCTION("IMPORTRANGE(""https://docs.google.com/spreadsheets/d/1MeEWN-I1oV_STSDYn1IFDPWt_1FKiwhDph83XaGc0o0/edit?usp=sharing"",""งบพรบ!FQ79"")"),0)</f>
        <v>0</v>
      </c>
      <c r="M407" s="92">
        <f ca="1">IFERROR(__xludf.DUMMYFUNCTION("IMPORTRANGE(""https://docs.google.com/spreadsheets/d/1MeEWN-I1oV_STSDYn1IFDPWt_1FKiwhDph83XaGc0o0/edit?usp=sharing"",""งบพรบ!FV79"")"),0)</f>
        <v>0</v>
      </c>
      <c r="N407" s="92">
        <f ca="1">IFERROR(__xludf.DUMMYFUNCTION("IMPORTRANGE(""https://docs.google.com/spreadsheets/d/1MeEWN-I1oV_STSDYn1IFDPWt_1FKiwhDph83XaGc0o0/edit?usp=sharing"",""งบพรบ!FX79"")"),0)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IFERROR(__xludf.DUMMYFUNCTION("IMPORTRANGE(""https://docs.google.com/spreadsheets/d/1MeEWN-I1oV_STSDYn1IFDPWt_1FKiwhDph83XaGc0o0/edit?usp=sharing"",""งบพรบ!FT79"")"),0)</f>
        <v>0</v>
      </c>
      <c r="M410" s="92">
        <f ca="1">IFERROR(__xludf.DUMMYFUNCTION("IMPORTRANGE(""https://docs.google.com/spreadsheets/d/1MeEWN-I1oV_STSDYn1IFDPWt_1FKiwhDph83XaGc0o0/edit?usp=sharing"",""งบพรบ!FW79"")"),0)</f>
        <v>0</v>
      </c>
      <c r="N410" s="92">
        <f ca="1">IFERROR(__xludf.DUMMYFUNCTION("IMPORTRANGE(""https://docs.google.com/spreadsheets/d/1MeEWN-I1oV_STSDYn1IFDPWt_1FKiwhDph83XaGc0o0/edit?usp=sharing"",""งบพรบ!FY79"")"),0)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45" t="s">
        <v>38</v>
      </c>
      <c r="E411" s="535"/>
      <c r="F411" s="535"/>
      <c r="G411" s="536"/>
      <c r="H411" s="761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7" t="s">
        <v>177</v>
      </c>
      <c r="E412" s="177"/>
      <c r="F412" s="177"/>
      <c r="G412" s="178"/>
      <c r="H412" s="537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8"/>
      <c r="B413" s="539"/>
      <c r="C413" s="539"/>
      <c r="D413" s="540" t="s">
        <v>178</v>
      </c>
      <c r="E413" s="539"/>
      <c r="F413" s="539"/>
      <c r="G413" s="541"/>
      <c r="H413" s="542" t="s">
        <v>179</v>
      </c>
      <c r="I413" s="543">
        <v>0</v>
      </c>
      <c r="J413" s="544">
        <v>0</v>
      </c>
      <c r="K413" s="545">
        <f>IF(I413&gt;0,J413*100/I413,0)</f>
        <v>0</v>
      </c>
      <c r="L413" s="546"/>
      <c r="M413" s="546"/>
      <c r="N413" s="546"/>
      <c r="O413" s="546"/>
      <c r="P413" s="546"/>
    </row>
    <row r="414" spans="1:26" ht="19.5">
      <c r="A414" s="547" t="s">
        <v>180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ca="1">L419+L444+L467+L502+L523+L544+L629+L655+L685+L737+L754+L770+L786+L805</f>
        <v>688784</v>
      </c>
      <c r="M414" s="553">
        <f ca="1">M419+M444+M467+M502+M523+M544+M629+M655+M685+M737+M754+M770+M786+M805</f>
        <v>653750</v>
      </c>
      <c r="N414" s="553">
        <f>N419+N444+N467+N502+N523+N544+N629+N655+N685+N737+N754+N770+N786+N805</f>
        <v>653750</v>
      </c>
      <c r="O414" s="553">
        <f ca="1">IF(L414&gt;0,N414*100/L414,0)</f>
        <v>94.913644916258221</v>
      </c>
      <c r="P414" s="553">
        <f ca="1">IF(M414&gt;0,N414*100/M414,0)</f>
        <v>100</v>
      </c>
    </row>
    <row r="415" spans="1:26" ht="19.5">
      <c r="A415" s="554" t="s">
        <v>181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182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183</v>
      </c>
      <c r="C417" s="565"/>
      <c r="D417" s="566"/>
      <c r="E417" s="566"/>
      <c r="F417" s="566"/>
      <c r="G417" s="567"/>
      <c r="H417" s="568" t="s">
        <v>35</v>
      </c>
      <c r="I417" s="569">
        <f ca="1">I433</f>
        <v>15</v>
      </c>
      <c r="J417" s="569">
        <f ca="1">J433</f>
        <v>15</v>
      </c>
      <c r="K417" s="570">
        <f ca="1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ca="1">I434</f>
        <v>1</v>
      </c>
      <c r="J418" s="569">
        <f>J434</f>
        <v>1</v>
      </c>
      <c r="K418" s="570">
        <f ca="1">IF(I418&gt;0,J418*100/I418,0)</f>
        <v>100</v>
      </c>
      <c r="L418" s="571"/>
      <c r="M418" s="571"/>
      <c r="N418" s="571"/>
      <c r="O418" s="571"/>
      <c r="P418" s="571"/>
    </row>
    <row r="419" spans="1:26" ht="19.5">
      <c r="A419" s="146"/>
      <c r="B419" s="147"/>
      <c r="C419" s="147" t="s">
        <v>16</v>
      </c>
      <c r="D419" s="910" t="s">
        <v>17</v>
      </c>
      <c r="E419" s="890"/>
      <c r="F419" s="890"/>
      <c r="G419" s="150"/>
      <c r="H419" s="274" t="s">
        <v>12</v>
      </c>
      <c r="I419" s="420"/>
      <c r="J419" s="420"/>
      <c r="K419" s="153"/>
      <c r="L419" s="154">
        <f ca="1">L420+L421</f>
        <v>66560</v>
      </c>
      <c r="M419" s="154">
        <f ca="1">M420+M421</f>
        <v>93050</v>
      </c>
      <c r="N419" s="154">
        <f>N420+N421</f>
        <v>93050</v>
      </c>
      <c r="O419" s="154">
        <f t="shared" ref="O419:O424" ca="1" si="71">IF(L419&gt;0,N419*100/L419,0)</f>
        <v>139.79867788461539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6"/>
      <c r="J420" s="616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6"/>
      <c r="J421" s="616"/>
      <c r="K421" s="92"/>
      <c r="L421" s="92">
        <f t="shared" ca="1" si="73"/>
        <v>66560</v>
      </c>
      <c r="M421" s="92">
        <f t="shared" ca="1" si="73"/>
        <v>93050</v>
      </c>
      <c r="N421" s="92">
        <f t="shared" si="73"/>
        <v>93050</v>
      </c>
      <c r="O421" s="92">
        <f t="shared" ca="1" si="71"/>
        <v>139.79867788461539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66560</v>
      </c>
      <c r="M422" s="497">
        <f ca="1">M423+M424</f>
        <v>93050</v>
      </c>
      <c r="N422" s="497">
        <f>N423+N424</f>
        <v>93050</v>
      </c>
      <c r="O422" s="497">
        <f t="shared" ca="1" si="71"/>
        <v>139.79867788461539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6"/>
      <c r="J423" s="616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6"/>
      <c r="J424" s="616"/>
      <c r="K424" s="92"/>
      <c r="L424" s="92">
        <f ca="1">IFERROR(__xludf.DUMMYFUNCTION("IMPORTRANGE(""https://docs.google.com/spreadsheets/d/1QqKyyYR6Q21VydFLVH3TRQUabQu_ym0Zz7PgGX0-kHA/edit?usp=sharing"",""แผน!EY79"")"),66560)</f>
        <v>66560</v>
      </c>
      <c r="M424" s="92">
        <f ca="1">L424-5610+32100</f>
        <v>93050</v>
      </c>
      <c r="N424" s="92">
        <f>N425+N426+N427+N428</f>
        <v>93050</v>
      </c>
      <c r="O424" s="92">
        <f t="shared" ca="1" si="71"/>
        <v>139.79867788461539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73"/>
      <c r="B425" s="574"/>
      <c r="C425" s="762"/>
      <c r="D425" s="762"/>
      <c r="E425" s="762"/>
      <c r="F425" s="762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826">
        <f>[1]ผลการเบิกจ่ายเงินกองทุน!F48</f>
        <v>36300</v>
      </c>
      <c r="O425" s="497"/>
      <c r="P425" s="497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826">
        <v>0</v>
      </c>
      <c r="O426" s="497"/>
      <c r="P426" s="497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826">
        <v>0</v>
      </c>
      <c r="O427" s="497"/>
      <c r="P427" s="497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3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826">
        <f>[1]ผลการเบิกจ่ายเงินกองทุน!F47+[1]ผลการเบิกจ่ายเงินกองทุน!F49+[1]ผลการเบิกจ่ายเงินกองทุน!F50+[1]ผลการเบิกจ่ายเงินกองทุน!F51+[1]ผลการเบิกจ่ายเงินกองทุน!F52+[1]ผลการเบิกจ่ายเงินกองทุน!F53</f>
        <v>56750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IFERROR(__xludf.DUMMYFUNCTION("IMPORTRANGE(""https://docs.google.com/spreadsheets/d/1QqKyyYR6Q21VydFLVH3TRQUabQu_ym0Zz7PgGX0-kHA/edit?usp=sharing"",""แผน!FB79"")"),0)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4"/>
      <c r="B432" s="415"/>
      <c r="C432" s="147" t="s">
        <v>16</v>
      </c>
      <c r="D432" s="844" t="s">
        <v>38</v>
      </c>
      <c r="E432" s="579"/>
      <c r="F432" s="579"/>
      <c r="G432" s="580"/>
      <c r="H432" s="581"/>
      <c r="I432" s="420"/>
      <c r="J432" s="420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80">
        <f ca="1">I438+I440</f>
        <v>1</v>
      </c>
      <c r="J434" s="680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7" t="s">
        <v>192</v>
      </c>
      <c r="E435" s="177"/>
      <c r="F435" s="177"/>
      <c r="G435" s="178"/>
      <c r="H435" s="622" t="s">
        <v>35</v>
      </c>
      <c r="I435" s="582">
        <f ca="1">IFERROR(__xludf.DUMMYFUNCTION("IMPORTRANGE(""https://docs.google.com/spreadsheets/d/1QqKyyYR6Q21VydFLVH3TRQUabQu_ym0Zz7PgGX0-kHA/edit?usp=sharing"",""แผน!FC79"")"),15)</f>
        <v>15</v>
      </c>
      <c r="J435" s="583">
        <v>15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7" t="s">
        <v>193</v>
      </c>
      <c r="E436" s="177"/>
      <c r="F436" s="177"/>
      <c r="G436" s="178"/>
      <c r="H436" s="622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7" t="s">
        <v>194</v>
      </c>
      <c r="E437" s="177"/>
      <c r="F437" s="177"/>
      <c r="G437" s="178"/>
      <c r="H437" s="622" t="s">
        <v>35</v>
      </c>
      <c r="I437" s="582">
        <f ca="1">IFERROR(__xludf.DUMMYFUNCTION("IMPORTRANGE(""https://docs.google.com/spreadsheets/d/1QqKyyYR6Q21VydFLVH3TRQUabQu_ym0Zz7PgGX0-kHA/edit?usp=sharing"",""แผน!FD79"")"),0)</f>
        <v>0</v>
      </c>
      <c r="J437" s="583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7" t="s">
        <v>195</v>
      </c>
      <c r="E438" s="177"/>
      <c r="F438" s="177"/>
      <c r="G438" s="178"/>
      <c r="H438" s="622" t="s">
        <v>49</v>
      </c>
      <c r="I438" s="269">
        <f ca="1">IFERROR(__xludf.DUMMYFUNCTION("IMPORTRANGE(""https://docs.google.com/spreadsheets/d/1QqKyyYR6Q21VydFLVH3TRQUabQu_ym0Zz7PgGX0-kHA/edit?usp=sharing"",""แผน!FE79"")"),0)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7" t="s">
        <v>196</v>
      </c>
      <c r="E439" s="177"/>
      <c r="F439" s="177"/>
      <c r="G439" s="178"/>
      <c r="H439" s="622" t="s">
        <v>35</v>
      </c>
      <c r="I439" s="582">
        <f ca="1">IFERROR(__xludf.DUMMYFUNCTION("IMPORTRANGE(""https://docs.google.com/spreadsheets/d/1QqKyyYR6Q21VydFLVH3TRQUabQu_ym0Zz7PgGX0-kHA/edit?usp=sharing"",""แผน!FF79"")"),15)</f>
        <v>15</v>
      </c>
      <c r="J439" s="583">
        <v>15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7" t="s">
        <v>197</v>
      </c>
      <c r="E440" s="177"/>
      <c r="F440" s="177"/>
      <c r="G440" s="178"/>
      <c r="H440" s="622" t="s">
        <v>49</v>
      </c>
      <c r="I440" s="269">
        <f ca="1">IFERROR(__xludf.DUMMYFUNCTION("IMPORTRANGE(""https://docs.google.com/spreadsheets/d/1QqKyyYR6Q21VydFLVH3TRQUabQu_ym0Zz7PgGX0-kHA/edit?usp=sharing"",""แผน!FG79"")"),1)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7" t="s">
        <v>198</v>
      </c>
      <c r="E441" s="177"/>
      <c r="F441" s="177"/>
      <c r="G441" s="178"/>
      <c r="H441" s="622" t="s">
        <v>35</v>
      </c>
      <c r="I441" s="269">
        <f ca="1">IFERROR(__xludf.DUMMYFUNCTION("IMPORTRANGE(""https://docs.google.com/spreadsheets/d/1QqKyyYR6Q21VydFLVH3TRQUabQu_ym0Zz7PgGX0-kHA/edit?usp=sharing"",""แผน!FH79"")"),0)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84">
        <v>2</v>
      </c>
      <c r="B442" s="585" t="s">
        <v>199</v>
      </c>
      <c r="C442" s="586"/>
      <c r="D442" s="586"/>
      <c r="E442" s="586"/>
      <c r="F442" s="586"/>
      <c r="G442" s="587"/>
      <c r="H442" s="588" t="s">
        <v>35</v>
      </c>
      <c r="I442" s="589">
        <f ca="1">I460</f>
        <v>0</v>
      </c>
      <c r="J442" s="589">
        <f>J460</f>
        <v>0</v>
      </c>
      <c r="K442" s="590">
        <f t="shared" ca="1" si="7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ca="1">I462</f>
        <v>0</v>
      </c>
      <c r="J443" s="569">
        <f>J462</f>
        <v>0</v>
      </c>
      <c r="K443" s="570">
        <f t="shared" ca="1" si="7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887" t="s">
        <v>17</v>
      </c>
      <c r="E444" s="888"/>
      <c r="F444" s="888"/>
      <c r="G444" s="188"/>
      <c r="H444" s="597" t="s">
        <v>12</v>
      </c>
      <c r="I444" s="269"/>
      <c r="J444" s="269"/>
      <c r="K444" s="497"/>
      <c r="L444" s="194">
        <f ca="1">L445+L446</f>
        <v>0</v>
      </c>
      <c r="M444" s="194">
        <f>M445+M446</f>
        <v>0</v>
      </c>
      <c r="N444" s="194">
        <f>N445+N446</f>
        <v>0</v>
      </c>
      <c r="O444" s="194">
        <f t="shared" ref="O444:O449" ca="1" si="75">IF(L444&gt;0,N444*100/L444,0)</f>
        <v>0</v>
      </c>
      <c r="P444" s="194">
        <f t="shared" ref="P444:P449" si="76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184</v>
      </c>
      <c r="F445" s="758"/>
      <c r="G445" s="602"/>
      <c r="H445" s="164" t="s">
        <v>12</v>
      </c>
      <c r="I445" s="616"/>
      <c r="J445" s="616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185</v>
      </c>
      <c r="F446" s="758"/>
      <c r="G446" s="602"/>
      <c r="H446" s="164" t="s">
        <v>12</v>
      </c>
      <c r="I446" s="616"/>
      <c r="J446" s="616"/>
      <c r="K446" s="92"/>
      <c r="L446" s="92">
        <f t="shared" ca="1" si="77"/>
        <v>0</v>
      </c>
      <c r="M446" s="92">
        <f t="shared" si="77"/>
        <v>0</v>
      </c>
      <c r="N446" s="92">
        <f t="shared" si="77"/>
        <v>0</v>
      </c>
      <c r="O446" s="92">
        <f t="shared" ca="1" si="75"/>
        <v>0</v>
      </c>
      <c r="P446" s="92">
        <f t="shared" si="76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8"/>
      <c r="H447" s="160" t="s">
        <v>12</v>
      </c>
      <c r="I447" s="183"/>
      <c r="J447" s="183"/>
      <c r="K447" s="162"/>
      <c r="L447" s="497">
        <f ca="1">L448+L449</f>
        <v>0</v>
      </c>
      <c r="M447" s="497">
        <f>M448+M449</f>
        <v>0</v>
      </c>
      <c r="N447" s="497">
        <f>N448+N449</f>
        <v>0</v>
      </c>
      <c r="O447" s="497">
        <f t="shared" ca="1" si="75"/>
        <v>0</v>
      </c>
      <c r="P447" s="497">
        <f t="shared" si="76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184</v>
      </c>
      <c r="F448" s="758"/>
      <c r="G448" s="602"/>
      <c r="H448" s="164" t="s">
        <v>12</v>
      </c>
      <c r="I448" s="616"/>
      <c r="J448" s="616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185</v>
      </c>
      <c r="F449" s="758"/>
      <c r="G449" s="602"/>
      <c r="H449" s="164" t="s">
        <v>12</v>
      </c>
      <c r="I449" s="616"/>
      <c r="J449" s="616"/>
      <c r="K449" s="92"/>
      <c r="L449" s="92">
        <f ca="1">IFERROR(__xludf.DUMMYFUNCTION("IMPORTRANGE(""https://docs.google.com/spreadsheets/d/1QqKyyYR6Q21VydFLVH3TRQUabQu_ym0Zz7PgGX0-kHA/edit?usp=sharing"",""แผน!FJ79"")"),0)</f>
        <v>0</v>
      </c>
      <c r="M449" s="92">
        <v>0</v>
      </c>
      <c r="N449" s="92">
        <f>N450+N451+N452+N453</f>
        <v>0</v>
      </c>
      <c r="O449" s="92">
        <f t="shared" ca="1" si="75"/>
        <v>0</v>
      </c>
      <c r="P449" s="92">
        <f t="shared" si="76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826">
        <v>0</v>
      </c>
      <c r="O450" s="497"/>
      <c r="P450" s="497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826">
        <v>0</v>
      </c>
      <c r="O451" s="497"/>
      <c r="P451" s="497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826">
        <v>0</v>
      </c>
      <c r="O452" s="497"/>
      <c r="P452" s="497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826">
        <v>0</v>
      </c>
      <c r="O453" s="497"/>
      <c r="P453" s="497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IFERROR(__xludf.DUMMYFUNCTION("IMPORTRANGE(""https://docs.google.com/spreadsheets/d/1QqKyyYR6Q21VydFLVH3TRQUabQu_ym0Zz7PgGX0-kHA/edit?usp=sharing"",""แผน!FM79"")"),0)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40" t="s">
        <v>38</v>
      </c>
      <c r="E457" s="610"/>
      <c r="F457" s="760"/>
      <c r="G457" s="612"/>
      <c r="H457" s="761"/>
      <c r="I457" s="269"/>
      <c r="J457" s="269"/>
      <c r="K457" s="497"/>
      <c r="L457" s="497"/>
      <c r="M457" s="497"/>
      <c r="N457" s="497"/>
      <c r="O457" s="497"/>
      <c r="P457" s="497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200</v>
      </c>
      <c r="E458" s="615"/>
      <c r="F458" s="719"/>
      <c r="G458" s="365"/>
      <c r="H458" s="369" t="s">
        <v>35</v>
      </c>
      <c r="I458" s="616">
        <v>0</v>
      </c>
      <c r="J458" s="616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201</v>
      </c>
      <c r="E459" s="615"/>
      <c r="F459" s="719"/>
      <c r="G459" s="365"/>
      <c r="H459" s="369"/>
      <c r="I459" s="616"/>
      <c r="J459" s="616"/>
      <c r="K459" s="92"/>
      <c r="L459" s="92"/>
      <c r="M459" s="92"/>
      <c r="N459" s="92"/>
      <c r="O459" s="92"/>
      <c r="P459" s="92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202</v>
      </c>
      <c r="E460" s="617"/>
      <c r="F460" s="625"/>
      <c r="G460" s="761"/>
      <c r="H460" s="763" t="s">
        <v>35</v>
      </c>
      <c r="I460" s="269">
        <f ca="1">IFERROR(__xludf.DUMMYFUNCTION("IMPORTRANGE(""https://docs.google.com/spreadsheets/d/1QqKyyYR6Q21VydFLVH3TRQUabQu_ym0Zz7PgGX0-kHA/edit?usp=sharing"",""แผน!FN79"")"),0)</f>
        <v>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203</v>
      </c>
      <c r="E461" s="625"/>
      <c r="F461" s="625"/>
      <c r="G461" s="761"/>
      <c r="H461" s="763"/>
      <c r="I461" s="269"/>
      <c r="J461" s="269"/>
      <c r="K461" s="497"/>
      <c r="L461" s="497"/>
      <c r="M461" s="497"/>
      <c r="N461" s="497"/>
      <c r="O461" s="497"/>
      <c r="P461" s="497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204</v>
      </c>
      <c r="E462" s="625"/>
      <c r="F462" s="625"/>
      <c r="G462" s="761"/>
      <c r="H462" s="763" t="s">
        <v>46</v>
      </c>
      <c r="I462" s="269">
        <f ca="1">IFERROR(__xludf.DUMMYFUNCTION("IMPORTRANGE(""https://docs.google.com/spreadsheets/d/1QqKyyYR6Q21VydFLVH3TRQUabQu_ym0Zz7PgGX0-kHA/edit?usp=sharing"",""แผน!FO79"")"),0)</f>
        <v>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8"/>
      <c r="H463" s="763" t="s">
        <v>46</v>
      </c>
      <c r="I463" s="269">
        <f ca="1">IFERROR(__xludf.DUMMYFUNCTION("IMPORTRANGE(""https://docs.google.com/spreadsheets/d/1QqKyyYR6Q21VydFLVH3TRQUabQu_ym0Zz7PgGX0-kHA/edit?usp=sharing"",""แผน!FO79"")"),0)</f>
        <v>0</v>
      </c>
      <c r="J463" s="214">
        <v>0</v>
      </c>
      <c r="K463" s="497"/>
      <c r="L463" s="497"/>
      <c r="M463" s="497"/>
      <c r="N463" s="497"/>
      <c r="O463" s="497"/>
      <c r="P463" s="497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69">
        <f ca="1">IFERROR(__xludf.DUMMYFUNCTION("IMPORTRANGE(""https://docs.google.com/spreadsheets/d/1QqKyyYR6Q21VydFLVH3TRQUabQu_ym0Zz7PgGX0-kHA/edit?usp=sharing"",""แผน!FN79"")"),0)</f>
        <v>0</v>
      </c>
      <c r="J464" s="214">
        <v>0</v>
      </c>
      <c r="K464" s="497"/>
      <c r="L464" s="497"/>
      <c r="M464" s="497"/>
      <c r="N464" s="497"/>
      <c r="O464" s="497"/>
      <c r="P464" s="497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205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IFERROR(__xludf.DUMMYFUNCTION("IMPORTRANGE(""https://docs.google.com/spreadsheets/d/1QqKyyYR6Q21VydFLVH3TRQUabQu_ym0Zz7PgGX0-kHA/edit?usp=sharing"",""แผน!FX79"")"),11)</f>
        <v>11</v>
      </c>
      <c r="J465" s="589">
        <f>J485+J489+J492</f>
        <v>11</v>
      </c>
      <c r="K465" s="590">
        <f ca="1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IFERROR(__xludf.DUMMYFUNCTION("IMPORTRANGE(""https://docs.google.com/spreadsheets/d/1QqKyyYR6Q21VydFLVH3TRQUabQu_ym0Zz7PgGX0-kHA/edit?usp=sharing"",""แผน!FW79"")"),100)</f>
        <v>100</v>
      </c>
      <c r="J466" s="569">
        <f>J495+J498</f>
        <v>100</v>
      </c>
      <c r="K466" s="570">
        <f ca="1">IF(I466&gt;0,J466*100/I466,0)</f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87" t="s">
        <v>17</v>
      </c>
      <c r="E467" s="888"/>
      <c r="F467" s="888"/>
      <c r="G467" s="188"/>
      <c r="H467" s="597" t="s">
        <v>12</v>
      </c>
      <c r="I467" s="269"/>
      <c r="J467" s="269"/>
      <c r="K467" s="497"/>
      <c r="L467" s="194">
        <f ca="1">L468+L469</f>
        <v>98283</v>
      </c>
      <c r="M467" s="194">
        <f ca="1">M468+M469</f>
        <v>115023</v>
      </c>
      <c r="N467" s="194">
        <f>N468+N469</f>
        <v>115023</v>
      </c>
      <c r="O467" s="194">
        <f t="shared" ref="O467:O472" ca="1" si="78">IF(L467&gt;0,N467*100/L467,0)</f>
        <v>117.03244711699887</v>
      </c>
      <c r="P467" s="194">
        <f t="shared" ref="P467:P472" ca="1" si="79">IF(M467&gt;0,N467*100/M467,0)</f>
        <v>100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184</v>
      </c>
      <c r="F468" s="758"/>
      <c r="G468" s="602"/>
      <c r="H468" s="164" t="s">
        <v>12</v>
      </c>
      <c r="I468" s="616"/>
      <c r="J468" s="616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185</v>
      </c>
      <c r="F469" s="758"/>
      <c r="G469" s="602"/>
      <c r="H469" s="164" t="s">
        <v>12</v>
      </c>
      <c r="I469" s="616"/>
      <c r="J469" s="616"/>
      <c r="K469" s="92"/>
      <c r="L469" s="92">
        <f t="shared" ca="1" si="80"/>
        <v>98283</v>
      </c>
      <c r="M469" s="92">
        <f t="shared" ca="1" si="80"/>
        <v>115023</v>
      </c>
      <c r="N469" s="92">
        <f t="shared" si="80"/>
        <v>115023</v>
      </c>
      <c r="O469" s="92">
        <f t="shared" ca="1" si="78"/>
        <v>117.03244711699887</v>
      </c>
      <c r="P469" s="92">
        <f t="shared" ca="1" si="79"/>
        <v>100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8"/>
      <c r="H470" s="160" t="s">
        <v>12</v>
      </c>
      <c r="I470" s="183"/>
      <c r="J470" s="183"/>
      <c r="K470" s="162"/>
      <c r="L470" s="497">
        <f ca="1">L471+L472</f>
        <v>98283</v>
      </c>
      <c r="M470" s="497">
        <f ca="1">M471+M472</f>
        <v>115023</v>
      </c>
      <c r="N470" s="497">
        <f>N471+N472</f>
        <v>115023</v>
      </c>
      <c r="O470" s="497">
        <f t="shared" ca="1" si="78"/>
        <v>117.03244711699887</v>
      </c>
      <c r="P470" s="497">
        <f t="shared" ca="1" si="79"/>
        <v>100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>
      <c r="A471" s="598"/>
      <c r="B471" s="606"/>
      <c r="C471" s="758"/>
      <c r="D471" s="719"/>
      <c r="E471" s="758" t="s">
        <v>184</v>
      </c>
      <c r="F471" s="758"/>
      <c r="G471" s="602"/>
      <c r="H471" s="164" t="s">
        <v>12</v>
      </c>
      <c r="I471" s="616"/>
      <c r="J471" s="616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>
      <c r="A472" s="598"/>
      <c r="B472" s="606"/>
      <c r="C472" s="758"/>
      <c r="D472" s="719"/>
      <c r="E472" s="758" t="s">
        <v>185</v>
      </c>
      <c r="F472" s="758"/>
      <c r="G472" s="602"/>
      <c r="H472" s="164" t="s">
        <v>12</v>
      </c>
      <c r="I472" s="616"/>
      <c r="J472" s="616"/>
      <c r="K472" s="92"/>
      <c r="L472" s="92">
        <f ca="1">IFERROR(__xludf.DUMMYFUNCTION("IMPORTRANGE(""https://docs.google.com/spreadsheets/d/1QqKyyYR6Q21VydFLVH3TRQUabQu_ym0Zz7PgGX0-kHA/edit?usp=sharing"",""แผน!FS79"")"),98283)</f>
        <v>98283</v>
      </c>
      <c r="M472" s="92">
        <f ca="1">L472+16740</f>
        <v>115023</v>
      </c>
      <c r="N472" s="92">
        <f>N473+N474+N475+N476</f>
        <v>115023</v>
      </c>
      <c r="O472" s="92">
        <f t="shared" ca="1" si="78"/>
        <v>117.03244711699887</v>
      </c>
      <c r="P472" s="92">
        <f t="shared" ca="1" si="79"/>
        <v>100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826">
        <f>[1]ผลการเบิกจ่ายเงินกองทุน!F57+[1]ผลการเบิกจ่ายเงินกองทุน!F62</f>
        <v>29793</v>
      </c>
      <c r="O473" s="497"/>
      <c r="P473" s="497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826">
        <f>[1]ผลการเบิกจ่ายเงินกองทุน!F60</f>
        <v>66000</v>
      </c>
      <c r="O474" s="497"/>
      <c r="P474" s="497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826">
        <v>0</v>
      </c>
      <c r="O475" s="497"/>
      <c r="P475" s="497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826">
        <f>[1]ผลการเบิกจ่ายเงินกองทุน!F55+[1]ผลการเบิกจ่ายเงินกองทุน!F56+[1]ผลการเบิกจ่ายเงินกองทุน!F58+[1]ผลการเบิกจ่ายเงินกองทุน!F59+[1]ผลการเบิกจ่ายเงินกองทุน!F61</f>
        <v>19230</v>
      </c>
      <c r="O476" s="497"/>
      <c r="P476" s="497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IFERROR(__xludf.DUMMYFUNCTION("IMPORTRANGE(""https://docs.google.com/spreadsheets/d/1QqKyyYR6Q21VydFLVH3TRQUabQu_ym0Zz7PgGX0-kHA/edit?usp=sharing"",""แผน!FV79"")"),0)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43" t="s">
        <v>38</v>
      </c>
      <c r="E480" s="610"/>
      <c r="F480" s="760"/>
      <c r="G480" s="612"/>
      <c r="H480" s="761"/>
      <c r="I480" s="269"/>
      <c r="J480" s="269"/>
      <c r="K480" s="497"/>
      <c r="L480" s="497"/>
      <c r="M480" s="497"/>
      <c r="N480" s="497"/>
      <c r="O480" s="497"/>
      <c r="P480" s="497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206</v>
      </c>
      <c r="E481" s="617"/>
      <c r="F481" s="617"/>
      <c r="G481" s="761"/>
      <c r="H481" s="188"/>
      <c r="I481" s="269"/>
      <c r="J481" s="269"/>
      <c r="K481" s="497"/>
      <c r="L481" s="497"/>
      <c r="M481" s="497"/>
      <c r="N481" s="497"/>
      <c r="O481" s="497"/>
      <c r="P481" s="497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207</v>
      </c>
      <c r="F482" s="617"/>
      <c r="G482" s="761"/>
      <c r="H482" s="188"/>
      <c r="I482" s="269"/>
      <c r="J482" s="269"/>
      <c r="K482" s="497"/>
      <c r="L482" s="497"/>
      <c r="M482" s="497"/>
      <c r="N482" s="497"/>
      <c r="O482" s="497"/>
      <c r="P482" s="497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208</v>
      </c>
      <c r="G483" s="761"/>
      <c r="H483" s="622" t="s">
        <v>46</v>
      </c>
      <c r="I483" s="269">
        <f ca="1">IFERROR(__xludf.DUMMYFUNCTION("IMPORTRANGE(""https://docs.google.com/spreadsheets/d/1QqKyyYR6Q21VydFLVH3TRQUabQu_ym0Zz7PgGX0-kHA/edit?usp=sharing"",""แผน!FY79"")"),90)</f>
        <v>90</v>
      </c>
      <c r="J483" s="214">
        <v>90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209</v>
      </c>
      <c r="G484" s="761"/>
      <c r="H484" s="622" t="s">
        <v>35</v>
      </c>
      <c r="I484" s="269"/>
      <c r="J484" s="214">
        <v>13</v>
      </c>
      <c r="K484" s="497"/>
      <c r="L484" s="497"/>
      <c r="M484" s="497"/>
      <c r="N484" s="497"/>
      <c r="O484" s="497"/>
      <c r="P484" s="497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210</v>
      </c>
      <c r="G485" s="761"/>
      <c r="H485" s="622" t="s">
        <v>35</v>
      </c>
      <c r="I485" s="269">
        <f ca="1">IFERROR(__xludf.DUMMYFUNCTION("IMPORTRANGE(""https://docs.google.com/spreadsheets/d/1QqKyyYR6Q21VydFLVH3TRQUabQu_ym0Zz7PgGX0-kHA/edit?usp=sharing"",""แผน!FZ79"")"),9)</f>
        <v>9</v>
      </c>
      <c r="J485" s="214">
        <v>9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69"/>
      <c r="J486" s="269"/>
      <c r="K486" s="497"/>
      <c r="L486" s="497"/>
      <c r="M486" s="497"/>
      <c r="N486" s="497"/>
      <c r="O486" s="497"/>
      <c r="P486" s="497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208</v>
      </c>
      <c r="G487" s="761"/>
      <c r="H487" s="622" t="s">
        <v>46</v>
      </c>
      <c r="I487" s="269">
        <f ca="1">IFERROR(__xludf.DUMMYFUNCTION("IMPORTRANGE(""https://docs.google.com/spreadsheets/d/1QqKyyYR6Q21VydFLVH3TRQUabQu_ym0Zz7PgGX0-kHA/edit?usp=sharing"",""แผน!GA79"")"),10)</f>
        <v>10</v>
      </c>
      <c r="J487" s="214">
        <v>10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211</v>
      </c>
      <c r="G488" s="761"/>
      <c r="H488" s="622" t="s">
        <v>35</v>
      </c>
      <c r="I488" s="269"/>
      <c r="J488" s="214">
        <v>1</v>
      </c>
      <c r="K488" s="497"/>
      <c r="L488" s="497"/>
      <c r="M488" s="497"/>
      <c r="N488" s="497"/>
      <c r="O488" s="497"/>
      <c r="P488" s="497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212</v>
      </c>
      <c r="G489" s="761"/>
      <c r="H489" s="622" t="s">
        <v>35</v>
      </c>
      <c r="I489" s="269">
        <f ca="1">IFERROR(__xludf.DUMMYFUNCTION("IMPORTRANGE(""https://docs.google.com/spreadsheets/d/1QqKyyYR6Q21VydFLVH3TRQUabQu_ym0Zz7PgGX0-kHA/edit?usp=sharing"",""แผน!GB79"")"),1)</f>
        <v>1</v>
      </c>
      <c r="J489" s="214">
        <v>1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69"/>
      <c r="J490" s="269"/>
      <c r="K490" s="497"/>
      <c r="L490" s="497"/>
      <c r="M490" s="497"/>
      <c r="N490" s="497"/>
      <c r="O490" s="497"/>
      <c r="P490" s="497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213</v>
      </c>
      <c r="G491" s="761"/>
      <c r="H491" s="622" t="s">
        <v>35</v>
      </c>
      <c r="I491" s="269"/>
      <c r="J491" s="214">
        <v>1</v>
      </c>
      <c r="K491" s="497"/>
      <c r="L491" s="497"/>
      <c r="M491" s="497"/>
      <c r="N491" s="497"/>
      <c r="O491" s="497"/>
      <c r="P491" s="497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214</v>
      </c>
      <c r="G492" s="761"/>
      <c r="H492" s="622" t="s">
        <v>35</v>
      </c>
      <c r="I492" s="269">
        <f ca="1">IFERROR(__xludf.DUMMYFUNCTION("IMPORTRANGE(""https://docs.google.com/spreadsheets/d/1QqKyyYR6Q21VydFLVH3TRQUabQu_ym0Zz7PgGX0-kHA/edit?usp=sharing"",""แผน!GC79"")"),1)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8"/>
      <c r="I493" s="269"/>
      <c r="J493" s="269"/>
      <c r="K493" s="497"/>
      <c r="L493" s="497"/>
      <c r="M493" s="497"/>
      <c r="N493" s="497"/>
      <c r="O493" s="497"/>
      <c r="P493" s="497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207</v>
      </c>
      <c r="F494" s="625"/>
      <c r="G494" s="761"/>
      <c r="H494" s="188"/>
      <c r="I494" s="269"/>
      <c r="J494" s="269"/>
      <c r="K494" s="497"/>
      <c r="L494" s="497"/>
      <c r="M494" s="497"/>
      <c r="N494" s="497"/>
      <c r="O494" s="497"/>
      <c r="P494" s="497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215</v>
      </c>
      <c r="G495" s="761"/>
      <c r="H495" s="622" t="s">
        <v>46</v>
      </c>
      <c r="I495" s="269">
        <f ca="1">IFERROR(__xludf.DUMMYFUNCTION("IMPORTRANGE(""https://docs.google.com/spreadsheets/d/1QqKyyYR6Q21VydFLVH3TRQUabQu_ym0Zz7PgGX0-kHA/edit?usp=sharing"",""แผน!FY79"")"),90)</f>
        <v>90</v>
      </c>
      <c r="J495" s="214">
        <v>90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216</v>
      </c>
      <c r="G496" s="761"/>
      <c r="H496" s="622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8"/>
      <c r="I497" s="269"/>
      <c r="J497" s="269"/>
      <c r="K497" s="497"/>
      <c r="L497" s="497"/>
      <c r="M497" s="497"/>
      <c r="N497" s="497"/>
      <c r="O497" s="497"/>
      <c r="P497" s="497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217</v>
      </c>
      <c r="G498" s="761"/>
      <c r="H498" s="622" t="s">
        <v>46</v>
      </c>
      <c r="I498" s="269">
        <f ca="1">IFERROR(__xludf.DUMMYFUNCTION("IMPORTRANGE(""https://docs.google.com/spreadsheets/d/1QqKyyYR6Q21VydFLVH3TRQUabQu_ym0Zz7PgGX0-kHA/edit?usp=sharing"",""แผน!GA79"")"),10)</f>
        <v>10</v>
      </c>
      <c r="J498" s="214">
        <v>10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218</v>
      </c>
      <c r="G499" s="761"/>
      <c r="H499" s="622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219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>J516</f>
        <v>0</v>
      </c>
      <c r="K500" s="633">
        <f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220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>J517</f>
        <v>0</v>
      </c>
      <c r="K501" s="642">
        <f>IF(I501&gt;0,J501*100/I501,0)</f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92" t="s">
        <v>17</v>
      </c>
      <c r="E502" s="888"/>
      <c r="F502" s="888"/>
      <c r="G502" s="602"/>
      <c r="H502" s="645" t="s">
        <v>12</v>
      </c>
      <c r="I502" s="616"/>
      <c r="J502" s="616"/>
      <c r="K502" s="92"/>
      <c r="L502" s="646">
        <f>L503+L504</f>
        <v>0</v>
      </c>
      <c r="M502" s="646">
        <f>M503+M504</f>
        <v>0</v>
      </c>
      <c r="N502" s="646">
        <f>N503+N504</f>
        <v>0</v>
      </c>
      <c r="O502" s="646">
        <f t="shared" ref="O502:O507" si="81">IF(L502&gt;0,N502*100/L502,0)</f>
        <v>0</v>
      </c>
      <c r="P502" s="646">
        <f t="shared" ref="P502:P507" si="82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184</v>
      </c>
      <c r="F503" s="758"/>
      <c r="G503" s="602"/>
      <c r="H503" s="164" t="s">
        <v>12</v>
      </c>
      <c r="I503" s="616"/>
      <c r="J503" s="616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185</v>
      </c>
      <c r="F504" s="758"/>
      <c r="G504" s="602"/>
      <c r="H504" s="164" t="s">
        <v>12</v>
      </c>
      <c r="I504" s="616"/>
      <c r="J504" s="616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184</v>
      </c>
      <c r="F506" s="758"/>
      <c r="G506" s="602"/>
      <c r="H506" s="164" t="s">
        <v>12</v>
      </c>
      <c r="I506" s="616"/>
      <c r="J506" s="616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185</v>
      </c>
      <c r="F507" s="758"/>
      <c r="G507" s="602"/>
      <c r="H507" s="164" t="s">
        <v>12</v>
      </c>
      <c r="I507" s="616"/>
      <c r="J507" s="616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186</v>
      </c>
      <c r="G508" s="602"/>
      <c r="H508" s="164" t="s">
        <v>12</v>
      </c>
      <c r="I508" s="616"/>
      <c r="J508" s="616"/>
      <c r="K508" s="92"/>
      <c r="L508" s="92"/>
      <c r="M508" s="92"/>
      <c r="N508" s="92">
        <v>0</v>
      </c>
      <c r="O508" s="92"/>
      <c r="P508" s="92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187</v>
      </c>
      <c r="G509" s="602"/>
      <c r="H509" s="164" t="s">
        <v>12</v>
      </c>
      <c r="I509" s="616"/>
      <c r="J509" s="616"/>
      <c r="K509" s="92"/>
      <c r="L509" s="92"/>
      <c r="M509" s="92"/>
      <c r="N509" s="92">
        <v>0</v>
      </c>
      <c r="O509" s="92"/>
      <c r="P509" s="92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188</v>
      </c>
      <c r="G510" s="602"/>
      <c r="H510" s="164" t="s">
        <v>12</v>
      </c>
      <c r="I510" s="616"/>
      <c r="J510" s="616"/>
      <c r="K510" s="92"/>
      <c r="L510" s="92"/>
      <c r="M510" s="92"/>
      <c r="N510" s="92">
        <v>0</v>
      </c>
      <c r="O510" s="92"/>
      <c r="P510" s="92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189</v>
      </c>
      <c r="G511" s="602"/>
      <c r="H511" s="164" t="s">
        <v>12</v>
      </c>
      <c r="I511" s="616"/>
      <c r="J511" s="616"/>
      <c r="K511" s="92"/>
      <c r="L511" s="92"/>
      <c r="M511" s="92"/>
      <c r="N511" s="92">
        <v>0</v>
      </c>
      <c r="O511" s="92"/>
      <c r="P511" s="92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42" t="s">
        <v>38</v>
      </c>
      <c r="E515" s="650"/>
      <c r="F515" s="650"/>
      <c r="G515" s="651"/>
      <c r="H515" s="365"/>
      <c r="I515" s="165"/>
      <c r="J515" s="165"/>
      <c r="K515" s="166"/>
      <c r="L515" s="166"/>
      <c r="M515" s="166"/>
      <c r="N515" s="166"/>
      <c r="O515" s="166"/>
      <c r="P515" s="166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221</v>
      </c>
      <c r="E516" s="719"/>
      <c r="F516" s="719"/>
      <c r="G516" s="365"/>
      <c r="H516" s="652" t="s">
        <v>109</v>
      </c>
      <c r="I516" s="616"/>
      <c r="J516" s="616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222</v>
      </c>
      <c r="E517" s="719"/>
      <c r="F517" s="719"/>
      <c r="G517" s="365"/>
      <c r="H517" s="653" t="s">
        <v>35</v>
      </c>
      <c r="I517" s="654"/>
      <c r="J517" s="654">
        <f>J518+J519</f>
        <v>0</v>
      </c>
      <c r="K517" s="655">
        <f>IF(I517&gt;0,J517*100/I517,0)</f>
        <v>0</v>
      </c>
      <c r="L517" s="166"/>
      <c r="M517" s="166"/>
      <c r="N517" s="166"/>
      <c r="O517" s="166"/>
      <c r="P517" s="166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223</v>
      </c>
      <c r="F518" s="719"/>
      <c r="G518" s="365"/>
      <c r="H518" s="369" t="s">
        <v>35</v>
      </c>
      <c r="I518" s="616"/>
      <c r="J518" s="616"/>
      <c r="K518" s="166"/>
      <c r="L518" s="166"/>
      <c r="M518" s="166"/>
      <c r="N518" s="166"/>
      <c r="O518" s="166"/>
      <c r="P518" s="166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224</v>
      </c>
      <c r="F519" s="719"/>
      <c r="G519" s="365"/>
      <c r="H519" s="652" t="s">
        <v>35</v>
      </c>
      <c r="I519" s="616"/>
      <c r="J519" s="616"/>
      <c r="K519" s="166"/>
      <c r="L519" s="166"/>
      <c r="M519" s="166"/>
      <c r="N519" s="166"/>
      <c r="O519" s="166"/>
      <c r="P519" s="166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225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226</v>
      </c>
      <c r="C522" s="672"/>
      <c r="D522" s="672"/>
      <c r="E522" s="672"/>
      <c r="F522" s="672"/>
      <c r="G522" s="673"/>
      <c r="H522" s="674" t="s">
        <v>35</v>
      </c>
      <c r="I522" s="707">
        <f ca="1">I537</f>
        <v>0</v>
      </c>
      <c r="J522" s="707">
        <f ca="1">J537</f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87" t="s">
        <v>17</v>
      </c>
      <c r="E523" s="888"/>
      <c r="F523" s="888"/>
      <c r="G523" s="188"/>
      <c r="H523" s="597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184</v>
      </c>
      <c r="F524" s="758"/>
      <c r="G524" s="602"/>
      <c r="H524" s="164" t="s">
        <v>12</v>
      </c>
      <c r="I524" s="616"/>
      <c r="J524" s="616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185</v>
      </c>
      <c r="F525" s="758"/>
      <c r="G525" s="602"/>
      <c r="H525" s="164" t="s">
        <v>12</v>
      </c>
      <c r="I525" s="616"/>
      <c r="J525" s="616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184</v>
      </c>
      <c r="F527" s="758"/>
      <c r="G527" s="602"/>
      <c r="H527" s="164" t="s">
        <v>12</v>
      </c>
      <c r="I527" s="616"/>
      <c r="J527" s="616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185</v>
      </c>
      <c r="F528" s="758"/>
      <c r="G528" s="602"/>
      <c r="H528" s="164" t="s">
        <v>12</v>
      </c>
      <c r="I528" s="616"/>
      <c r="J528" s="616"/>
      <c r="K528" s="92"/>
      <c r="L528" s="92">
        <f ca="1">IFERROR(__xludf.DUMMYFUNCTION("IMPORTRANGE(""https://docs.google.com/spreadsheets/d/1QqKyyYR6Q21VydFLVH3TRQUabQu_ym0Zz7PgGX0-kHA/edit?usp=sharing"",""แผน!GQ79"")"),0)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826">
        <v>0</v>
      </c>
      <c r="O529" s="497"/>
      <c r="P529" s="497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826">
        <v>0</v>
      </c>
      <c r="O530" s="497"/>
      <c r="P530" s="497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826">
        <v>0</v>
      </c>
      <c r="O531" s="497"/>
      <c r="P531" s="497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826">
        <v>0</v>
      </c>
      <c r="O532" s="497"/>
      <c r="P532" s="497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IFERROR(__xludf.DUMMYFUNCTION("IMPORTRANGE(""https://docs.google.com/spreadsheets/d/1QqKyyYR6Q21VydFLVH3TRQUabQu_ym0Zz7PgGX0-kHA/edit?usp=sharing"",""แผน!GT79"")"),0)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41" t="s">
        <v>38</v>
      </c>
      <c r="E536" s="760"/>
      <c r="F536" s="760"/>
      <c r="G536" s="612"/>
      <c r="H536" s="761"/>
      <c r="I536" s="183"/>
      <c r="J536" s="183"/>
      <c r="K536" s="162"/>
      <c r="L536" s="162"/>
      <c r="M536" s="162"/>
      <c r="N536" s="162"/>
      <c r="O536" s="162"/>
      <c r="P536" s="162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227</v>
      </c>
      <c r="E537" s="762"/>
      <c r="F537" s="762"/>
      <c r="G537" s="188"/>
      <c r="H537" s="622" t="s">
        <v>35</v>
      </c>
      <c r="I537" s="680">
        <f ca="1">IFERROR(__xludf.DUMMYFUNCTION("IMPORTRANGE(""https://docs.google.com/spreadsheets/d/1QqKyyYR6Q21VydFLVH3TRQUabQu_ym0Zz7PgGX0-kHA/edit?usp=sharing"",""แผน!GU79"")"),0)</f>
        <v>0</v>
      </c>
      <c r="J537" s="680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228</v>
      </c>
      <c r="F538" s="762"/>
      <c r="G538" s="188"/>
      <c r="H538" s="622" t="s">
        <v>35</v>
      </c>
      <c r="I538" s="269">
        <f ca="1">IFERROR(__xludf.DUMMYFUNCTION("IMPORTRANGE(""https://docs.google.com/spreadsheets/d/1QqKyyYR6Q21VydFLVH3TRQUabQu_ym0Zz7PgGX0-kHA/edit?usp=sharing"",""แผน!GV79"")"),0)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229</v>
      </c>
      <c r="F539" s="762"/>
      <c r="G539" s="188"/>
      <c r="H539" s="622" t="s">
        <v>35</v>
      </c>
      <c r="I539" s="269">
        <f ca="1">IFERROR(__xludf.DUMMYFUNCTION("IMPORTRANGE(""https://docs.google.com/spreadsheets/d/1QqKyyYR6Q21VydFLVH3TRQUabQu_ym0Zz7PgGX0-kHA/edit?usp=sharing"",""แผน!GW79"")"),0)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230</v>
      </c>
      <c r="F540" s="762"/>
      <c r="G540" s="188"/>
      <c r="H540" s="622" t="s">
        <v>35</v>
      </c>
      <c r="I540" s="269">
        <f ca="1">IFERROR(__xludf.DUMMYFUNCTION("IMPORTRANGE(""https://docs.google.com/spreadsheets/d/1QqKyyYR6Q21VydFLVH3TRQUabQu_ym0Zz7PgGX0-kHA/edit?usp=sharing"",""แผน!GX79"")"),0)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231</v>
      </c>
      <c r="F541" s="762"/>
      <c r="G541" s="188"/>
      <c r="H541" s="622" t="s">
        <v>35</v>
      </c>
      <c r="I541" s="269">
        <f ca="1">IFERROR(__xludf.DUMMYFUNCTION("IMPORTRANGE(""https://docs.google.com/spreadsheets/d/1QqKyyYR6Q21VydFLVH3TRQUabQu_ym0Zz7PgGX0-kHA/edit?usp=sharing"",""แผน!GY79"")"),0)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8"/>
      <c r="H542" s="622" t="s">
        <v>35</v>
      </c>
      <c r="I542" s="269">
        <f ca="1">IFERROR(__xludf.DUMMYFUNCTION("IMPORTRANGE(""https://docs.google.com/spreadsheets/d/1QqKyyYR6Q21VydFLVH3TRQUabQu_ym0Zz7PgGX0-kHA/edit?usp=sharing"",""แผน!GZ79"")"),0)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232</v>
      </c>
      <c r="C543" s="666"/>
      <c r="D543" s="666"/>
      <c r="E543" s="666"/>
      <c r="F543" s="666"/>
      <c r="G543" s="667"/>
      <c r="H543" s="685" t="s">
        <v>46</v>
      </c>
      <c r="I543" s="686">
        <f ca="1">I559</f>
        <v>5970.92</v>
      </c>
      <c r="J543" s="686">
        <f>J559</f>
        <v>5970.92</v>
      </c>
      <c r="K543" s="687">
        <f t="shared" ca="1" si="87"/>
        <v>100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911" t="s">
        <v>17</v>
      </c>
      <c r="E544" s="890"/>
      <c r="F544" s="890"/>
      <c r="G544" s="690"/>
      <c r="H544" s="274" t="s">
        <v>12</v>
      </c>
      <c r="I544" s="420"/>
      <c r="J544" s="420"/>
      <c r="K544" s="153"/>
      <c r="L544" s="154">
        <f ca="1">L545+L546</f>
        <v>308096</v>
      </c>
      <c r="M544" s="154">
        <f ca="1">M545+M546</f>
        <v>306797</v>
      </c>
      <c r="N544" s="154">
        <f>N545+N546</f>
        <v>306797</v>
      </c>
      <c r="O544" s="154">
        <f t="shared" ref="O544:O549" ca="1" si="88">IF(L544&gt;0,N544*100/L544,0)</f>
        <v>99.578378167843795</v>
      </c>
      <c r="P544" s="154">
        <f t="shared" ref="P544:P549" ca="1" si="89">IF(M544&gt;0,N544*100/M544,0)</f>
        <v>100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184</v>
      </c>
      <c r="F545" s="758"/>
      <c r="G545" s="602"/>
      <c r="H545" s="164" t="s">
        <v>12</v>
      </c>
      <c r="I545" s="616"/>
      <c r="J545" s="616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185</v>
      </c>
      <c r="F546" s="758"/>
      <c r="G546" s="602"/>
      <c r="H546" s="164" t="s">
        <v>12</v>
      </c>
      <c r="I546" s="616"/>
      <c r="J546" s="616"/>
      <c r="K546" s="92"/>
      <c r="L546" s="92">
        <f ca="1">L549+L557</f>
        <v>308096</v>
      </c>
      <c r="M546" s="92">
        <f ca="1">M549+M556</f>
        <v>306797</v>
      </c>
      <c r="N546" s="92">
        <f>N549+N556</f>
        <v>306797</v>
      </c>
      <c r="O546" s="92">
        <f t="shared" ca="1" si="88"/>
        <v>99.578378167843795</v>
      </c>
      <c r="P546" s="92">
        <f t="shared" ca="1" si="89"/>
        <v>100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8"/>
      <c r="H547" s="160" t="s">
        <v>12</v>
      </c>
      <c r="I547" s="183"/>
      <c r="J547" s="183"/>
      <c r="K547" s="162"/>
      <c r="L547" s="497">
        <f ca="1">L548+L549</f>
        <v>308096</v>
      </c>
      <c r="M547" s="497">
        <f ca="1">M548+M549</f>
        <v>306797</v>
      </c>
      <c r="N547" s="497">
        <f>N548+N549</f>
        <v>306797</v>
      </c>
      <c r="O547" s="497">
        <f t="shared" ca="1" si="88"/>
        <v>99.578378167843795</v>
      </c>
      <c r="P547" s="497">
        <f t="shared" ca="1" si="89"/>
        <v>100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184</v>
      </c>
      <c r="F548" s="758"/>
      <c r="G548" s="602"/>
      <c r="H548" s="164" t="s">
        <v>12</v>
      </c>
      <c r="I548" s="616"/>
      <c r="J548" s="616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185</v>
      </c>
      <c r="F549" s="758"/>
      <c r="G549" s="602"/>
      <c r="H549" s="164" t="s">
        <v>12</v>
      </c>
      <c r="I549" s="616"/>
      <c r="J549" s="616"/>
      <c r="K549" s="92"/>
      <c r="L549" s="92">
        <f ca="1">IFERROR(__xludf.DUMMYFUNCTION("IMPORTRANGE(""https://docs.google.com/spreadsheets/d/1QqKyyYR6Q21VydFLVH3TRQUabQu_ym0Zz7PgGX0-kHA/edit?usp=sharing"",""แผน!HB79"")"),308096)</f>
        <v>308096</v>
      </c>
      <c r="M549" s="92">
        <f ca="1">L549-1299</f>
        <v>306797</v>
      </c>
      <c r="N549" s="92">
        <f>N550+N551+N552+N553+N554</f>
        <v>306797</v>
      </c>
      <c r="O549" s="92">
        <f t="shared" ca="1" si="88"/>
        <v>99.578378167843795</v>
      </c>
      <c r="P549" s="92">
        <f t="shared" ca="1" si="89"/>
        <v>100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826">
        <v>0</v>
      </c>
      <c r="O550" s="497"/>
      <c r="P550" s="497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826">
        <v>0</v>
      </c>
      <c r="O551" s="497"/>
      <c r="P551" s="497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826">
        <f>[1]ผลการเบิกจ่ายเงินกองทุน!F22</f>
        <v>141701</v>
      </c>
      <c r="O552" s="497"/>
      <c r="P552" s="497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826">
        <f>[1]ผลการเบิกจ่ายเงินกองทุน!F21+[1]ผลการเบิกจ่ายเงินกองทุน!F23+[1]ผลการเบิกจ่ายเงินกองทุน!F24+[1]ผลการเบิกจ่ายเงินกองทุน!F25+[1]ผลการเบิกจ่ายเงินกองทุน!F26+[1]ผลการเบิกจ่ายเงินกองทุน!F27+[1]ผลการเบิกจ่ายเงินกองทุน!F28+[1]ผลการเบิกจ่ายเงินกองทุน!F29+[1]ผลการเบิกจ่ายเงินกองทุน!F30+[1]ผลการเบิกจ่ายเงินกองทุน!F31+[1]ผลการเบิกจ่ายเงินกองทุน!F32</f>
        <v>165096</v>
      </c>
      <c r="O553" s="497"/>
      <c r="P553" s="497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826">
        <v>0</v>
      </c>
      <c r="O554" s="497"/>
      <c r="P554" s="497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IFERROR(__xludf.DUMMYFUNCTION("IMPORTRANGE(""https://docs.google.com/spreadsheets/d/1QqKyyYR6Q21VydFLVH3TRQUabQu_ym0Zz7PgGX0-kHA/edit?usp=sharing"",""แผน!HF79"")"),0)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41" t="s">
        <v>38</v>
      </c>
      <c r="E558" s="760"/>
      <c r="F558" s="760"/>
      <c r="G558" s="612"/>
      <c r="H558" s="761"/>
      <c r="I558" s="183"/>
      <c r="J558" s="183"/>
      <c r="K558" s="162"/>
      <c r="L558" s="162"/>
      <c r="M558" s="162"/>
      <c r="N558" s="162"/>
      <c r="O558" s="162"/>
      <c r="P558" s="162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234</v>
      </c>
      <c r="C559" s="693"/>
      <c r="D559" s="693"/>
      <c r="E559" s="672"/>
      <c r="F559" s="672"/>
      <c r="G559" s="673"/>
      <c r="H559" s="694" t="s">
        <v>46</v>
      </c>
      <c r="I559" s="707">
        <f ca="1">I576</f>
        <v>5970.92</v>
      </c>
      <c r="J559" s="707">
        <f>J576</f>
        <v>5970.92</v>
      </c>
      <c r="K559" s="676">
        <f ca="1">IF(I559&gt;0,J559*100/I559,0)</f>
        <v>100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235</v>
      </c>
      <c r="D560" s="617"/>
      <c r="E560" s="625"/>
      <c r="F560" s="625"/>
      <c r="G560" s="761"/>
      <c r="H560" s="766" t="s">
        <v>46</v>
      </c>
      <c r="I560" s="192">
        <f ca="1">IFERROR(__xludf.DUMMYFUNCTION("IMPORTRANGE(""https://docs.google.com/spreadsheets/d/1QqKyyYR6Q21VydFLVH3TRQUabQu_ym0Zz7PgGX0-kHA/edit?usp=sharing"",""แผน!HH79"")"),5970.92)</f>
        <v>5970.92</v>
      </c>
      <c r="J560" s="192">
        <f>J562+J564+J566</f>
        <v>5970</v>
      </c>
      <c r="K560" s="411">
        <f ca="1">IF(I560&gt;0,J560*100/I560,0)</f>
        <v>99.984591989174191</v>
      </c>
      <c r="L560" s="162"/>
      <c r="M560" s="162"/>
      <c r="N560" s="162"/>
      <c r="O560" s="162"/>
      <c r="P560" s="162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2">
        <f ca="1">IFERROR(__xludf.DUMMYFUNCTION("IMPORTRANGE(""https://docs.google.com/spreadsheets/d/1QqKyyYR6Q21VydFLVH3TRQUabQu_ym0Zz7PgGX0-kHA/edit?usp=sharing"",""แผน!HG79"")"),965)</f>
        <v>965</v>
      </c>
      <c r="J561" s="192">
        <f>J563+J565+J567</f>
        <v>965</v>
      </c>
      <c r="K561" s="411">
        <f ca="1">IF(I561&gt;0,J561*100/I561,0)</f>
        <v>100</v>
      </c>
      <c r="L561" s="162"/>
      <c r="M561" s="162"/>
      <c r="N561" s="162"/>
      <c r="O561" s="162"/>
      <c r="P561" s="162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236</v>
      </c>
      <c r="E562" s="625"/>
      <c r="F562" s="625"/>
      <c r="G562" s="761"/>
      <c r="H562" s="763" t="s">
        <v>46</v>
      </c>
      <c r="I562" s="183"/>
      <c r="J562" s="214">
        <v>5498</v>
      </c>
      <c r="K562" s="162"/>
      <c r="L562" s="162"/>
      <c r="M562" s="162"/>
      <c r="N562" s="162"/>
      <c r="O562" s="162"/>
      <c r="P562" s="162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3"/>
      <c r="J563" s="214">
        <v>888</v>
      </c>
      <c r="K563" s="162"/>
      <c r="L563" s="162"/>
      <c r="M563" s="162"/>
      <c r="N563" s="162"/>
      <c r="O563" s="162"/>
      <c r="P563" s="162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237</v>
      </c>
      <c r="E564" s="625"/>
      <c r="F564" s="625"/>
      <c r="G564" s="761"/>
      <c r="H564" s="763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238</v>
      </c>
      <c r="E566" s="625"/>
      <c r="F566" s="625"/>
      <c r="G566" s="761"/>
      <c r="H566" s="763" t="s">
        <v>46</v>
      </c>
      <c r="I566" s="183"/>
      <c r="J566" s="214">
        <v>472</v>
      </c>
      <c r="K566" s="162"/>
      <c r="L566" s="162"/>
      <c r="M566" s="162"/>
      <c r="N566" s="162"/>
      <c r="O566" s="162"/>
      <c r="P566" s="162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3"/>
      <c r="J567" s="214">
        <v>77</v>
      </c>
      <c r="K567" s="162"/>
      <c r="L567" s="162"/>
      <c r="M567" s="162"/>
      <c r="N567" s="162"/>
      <c r="O567" s="162"/>
      <c r="P567" s="162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239</v>
      </c>
      <c r="D568" s="625"/>
      <c r="E568" s="625"/>
      <c r="F568" s="625"/>
      <c r="G568" s="761"/>
      <c r="H568" s="766" t="s">
        <v>46</v>
      </c>
      <c r="I568" s="192">
        <f ca="1">IFERROR(__xludf.DUMMYFUNCTION("IMPORTRANGE(""https://docs.google.com/spreadsheets/d/1QqKyyYR6Q21VydFLVH3TRQUabQu_ym0Zz7PgGX0-kHA/edit?usp=sharing"",""แผน!HH79"")"),5970.92)</f>
        <v>5970.92</v>
      </c>
      <c r="J568" s="680">
        <f>J570+J572+J574</f>
        <v>5970</v>
      </c>
      <c r="K568" s="411">
        <f ca="1">IF(I568&gt;0,J568*100/I568,0)</f>
        <v>99.984591989174191</v>
      </c>
      <c r="L568" s="162"/>
      <c r="M568" s="162"/>
      <c r="N568" s="162"/>
      <c r="O568" s="162"/>
      <c r="P568" s="162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2">
        <f ca="1">IFERROR(__xludf.DUMMYFUNCTION("IMPORTRANGE(""https://docs.google.com/spreadsheets/d/1QqKyyYR6Q21VydFLVH3TRQUabQu_ym0Zz7PgGX0-kHA/edit?usp=sharing"",""แผน!HG79"")"),965)</f>
        <v>965</v>
      </c>
      <c r="J569" s="680">
        <f>J571+J573+J575</f>
        <v>965</v>
      </c>
      <c r="K569" s="411">
        <f ca="1">IF(I569&gt;0,J569*100/I569,0)</f>
        <v>100</v>
      </c>
      <c r="L569" s="162"/>
      <c r="M569" s="162"/>
      <c r="N569" s="162"/>
      <c r="O569" s="162"/>
      <c r="P569" s="162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240</v>
      </c>
      <c r="E570" s="617"/>
      <c r="F570" s="625"/>
      <c r="G570" s="761"/>
      <c r="H570" s="763" t="s">
        <v>46</v>
      </c>
      <c r="I570" s="183"/>
      <c r="J570" s="214">
        <v>5498</v>
      </c>
      <c r="K570" s="162"/>
      <c r="L570" s="162"/>
      <c r="M570" s="162"/>
      <c r="N570" s="162"/>
      <c r="O570" s="162"/>
      <c r="P570" s="162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3"/>
      <c r="J571" s="214">
        <v>888</v>
      </c>
      <c r="K571" s="162"/>
      <c r="L571" s="162"/>
      <c r="M571" s="162"/>
      <c r="N571" s="162"/>
      <c r="O571" s="162"/>
      <c r="P571" s="162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241</v>
      </c>
      <c r="E572" s="625"/>
      <c r="F572" s="625"/>
      <c r="G572" s="761"/>
      <c r="H572" s="763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242</v>
      </c>
      <c r="E574" s="625"/>
      <c r="F574" s="625"/>
      <c r="G574" s="761"/>
      <c r="H574" s="763" t="s">
        <v>46</v>
      </c>
      <c r="I574" s="183"/>
      <c r="J574" s="214">
        <v>472</v>
      </c>
      <c r="K574" s="162"/>
      <c r="L574" s="162"/>
      <c r="M574" s="162"/>
      <c r="N574" s="162"/>
      <c r="O574" s="162"/>
      <c r="P574" s="162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3"/>
      <c r="J575" s="214">
        <v>77</v>
      </c>
      <c r="K575" s="162"/>
      <c r="L575" s="162"/>
      <c r="M575" s="162"/>
      <c r="N575" s="162"/>
      <c r="O575" s="162"/>
      <c r="P575" s="162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243</v>
      </c>
      <c r="D576" s="617"/>
      <c r="E576" s="617"/>
      <c r="F576" s="625"/>
      <c r="G576" s="761"/>
      <c r="H576" s="766" t="s">
        <v>46</v>
      </c>
      <c r="I576" s="192">
        <f ca="1">IFERROR(__xludf.DUMMYFUNCTION("IMPORTRANGE(""https://docs.google.com/spreadsheets/d/1QqKyyYR6Q21VydFLVH3TRQUabQu_ym0Zz7PgGX0-kHA/edit?usp=sharing"",""แผน!HH79"")"),5970.92)</f>
        <v>5970.92</v>
      </c>
      <c r="J576" s="680">
        <f>J578+J580+J582+J588+J590</f>
        <v>5970.92</v>
      </c>
      <c r="K576" s="411">
        <f ca="1">IF(I576&gt;0,J576*100/I576,0)</f>
        <v>100</v>
      </c>
      <c r="L576" s="162"/>
      <c r="M576" s="162"/>
      <c r="N576" s="162"/>
      <c r="O576" s="162"/>
      <c r="P576" s="162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2">
        <f ca="1">IFERROR(__xludf.DUMMYFUNCTION("IMPORTRANGE(""https://docs.google.com/spreadsheets/d/1QqKyyYR6Q21VydFLVH3TRQUabQu_ym0Zz7PgGX0-kHA/edit?usp=sharing"",""แผน!HG79"")"),965)</f>
        <v>965</v>
      </c>
      <c r="J577" s="680">
        <f>J579+J581+J583+J589+J591</f>
        <v>965</v>
      </c>
      <c r="K577" s="411">
        <f ca="1">IF(I577&gt;0,J577*100/I577,0)</f>
        <v>100</v>
      </c>
      <c r="L577" s="162"/>
      <c r="M577" s="162"/>
      <c r="N577" s="162"/>
      <c r="O577" s="162"/>
      <c r="P577" s="162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244</v>
      </c>
      <c r="E578" s="625"/>
      <c r="F578" s="625"/>
      <c r="G578" s="761"/>
      <c r="H578" s="763" t="s">
        <v>46</v>
      </c>
      <c r="I578" s="183"/>
      <c r="J578" s="214">
        <v>5498.4825000000001</v>
      </c>
      <c r="K578" s="162"/>
      <c r="L578" s="162"/>
      <c r="M578" s="162"/>
      <c r="N578" s="162"/>
      <c r="O578" s="162"/>
      <c r="P578" s="162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3"/>
      <c r="J579" s="214">
        <v>888</v>
      </c>
      <c r="K579" s="162"/>
      <c r="L579" s="162"/>
      <c r="M579" s="162"/>
      <c r="N579" s="162"/>
      <c r="O579" s="162"/>
      <c r="P579" s="162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245</v>
      </c>
      <c r="E580" s="625"/>
      <c r="F580" s="625"/>
      <c r="G580" s="761"/>
      <c r="H580" s="763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246</v>
      </c>
      <c r="E582" s="625"/>
      <c r="F582" s="625"/>
      <c r="G582" s="761"/>
      <c r="H582" s="763" t="s">
        <v>46</v>
      </c>
      <c r="I582" s="183"/>
      <c r="J582" s="680">
        <f>J584+J586</f>
        <v>472.4375</v>
      </c>
      <c r="K582" s="411"/>
      <c r="L582" s="162"/>
      <c r="M582" s="162"/>
      <c r="N582" s="162"/>
      <c r="O582" s="162"/>
      <c r="P582" s="162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3"/>
      <c r="J583" s="680">
        <f>J585+J587</f>
        <v>77</v>
      </c>
      <c r="K583" s="411"/>
      <c r="L583" s="162"/>
      <c r="M583" s="162"/>
      <c r="N583" s="162"/>
      <c r="O583" s="162"/>
      <c r="P583" s="162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247</v>
      </c>
      <c r="F584" s="625"/>
      <c r="G584" s="761"/>
      <c r="H584" s="763" t="s">
        <v>46</v>
      </c>
      <c r="I584" s="183"/>
      <c r="J584" s="214">
        <v>472.4375</v>
      </c>
      <c r="K584" s="162"/>
      <c r="L584" s="162"/>
      <c r="M584" s="162"/>
      <c r="N584" s="162"/>
      <c r="O584" s="162"/>
      <c r="P584" s="162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3"/>
      <c r="J585" s="214">
        <v>77</v>
      </c>
      <c r="K585" s="162"/>
      <c r="L585" s="162"/>
      <c r="M585" s="162"/>
      <c r="N585" s="162"/>
      <c r="O585" s="162"/>
      <c r="P585" s="162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248</v>
      </c>
      <c r="F586" s="625"/>
      <c r="G586" s="761"/>
      <c r="H586" s="763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249</v>
      </c>
      <c r="E588" s="625"/>
      <c r="F588" s="625"/>
      <c r="G588" s="761"/>
      <c r="H588" s="763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250</v>
      </c>
      <c r="E590" s="625"/>
      <c r="F590" s="625"/>
      <c r="G590" s="761"/>
      <c r="H590" s="763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251</v>
      </c>
      <c r="C592" s="693"/>
      <c r="D592" s="693"/>
      <c r="E592" s="672"/>
      <c r="F592" s="672"/>
      <c r="G592" s="673"/>
      <c r="H592" s="694" t="s">
        <v>46</v>
      </c>
      <c r="I592" s="702">
        <f ca="1">I593</f>
        <v>1078.8</v>
      </c>
      <c r="J592" s="707">
        <f>J593</f>
        <v>1079</v>
      </c>
      <c r="K592" s="676">
        <f ca="1">IF(I592&gt;0,J592*100/I592,0)</f>
        <v>100.01853911753801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252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IFERROR(__xludf.DUMMYFUNCTION("IMPORTRANGE(""https://docs.google.com/spreadsheets/d/1QqKyyYR6Q21VydFLVH3TRQUabQu_ym0Zz7PgGX0-kHA/edit?usp=sharing"",""แผน!HJ79"")"),1078.8)</f>
        <v>1078.8</v>
      </c>
      <c r="J593" s="192">
        <f>J595+J603+J609</f>
        <v>1079</v>
      </c>
      <c r="K593" s="411">
        <f ca="1">IF(I593&gt;0,J593*100/I593,0)</f>
        <v>100.01853911753801</v>
      </c>
      <c r="L593" s="162"/>
      <c r="M593" s="162"/>
      <c r="N593" s="162"/>
      <c r="O593" s="162"/>
      <c r="P593" s="162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2">
        <f ca="1">IFERROR(__xludf.DUMMYFUNCTION("IMPORTRANGE(""https://docs.google.com/spreadsheets/d/1QqKyyYR6Q21VydFLVH3TRQUabQu_ym0Zz7PgGX0-kHA/edit?usp=sharing"",""แผน!HI79"")"),225)</f>
        <v>225</v>
      </c>
      <c r="J594" s="192">
        <f>J596+J604+J610</f>
        <v>225</v>
      </c>
      <c r="K594" s="411">
        <f ca="1">IF(I594&gt;0,J594*100/I594,0)</f>
        <v>100</v>
      </c>
      <c r="L594" s="162"/>
      <c r="M594" s="162"/>
      <c r="N594" s="162"/>
      <c r="O594" s="162"/>
      <c r="P594" s="162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253</v>
      </c>
      <c r="D595" s="617"/>
      <c r="E595" s="617"/>
      <c r="F595" s="625"/>
      <c r="G595" s="761"/>
      <c r="H595" s="763" t="s">
        <v>46</v>
      </c>
      <c r="I595" s="183"/>
      <c r="J595" s="183">
        <f>J597+J599</f>
        <v>0</v>
      </c>
      <c r="K595" s="162"/>
      <c r="L595" s="162"/>
      <c r="M595" s="162"/>
      <c r="N595" s="162"/>
      <c r="O595" s="162"/>
      <c r="P595" s="162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3"/>
      <c r="J596" s="183">
        <f>J598+J600</f>
        <v>0</v>
      </c>
      <c r="K596" s="162"/>
      <c r="L596" s="162"/>
      <c r="M596" s="162"/>
      <c r="N596" s="162"/>
      <c r="O596" s="162"/>
      <c r="P596" s="162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254</v>
      </c>
      <c r="E597" s="625"/>
      <c r="F597" s="625"/>
      <c r="G597" s="761"/>
      <c r="H597" s="763" t="s">
        <v>46</v>
      </c>
      <c r="I597" s="183"/>
      <c r="J597" s="214">
        <v>0</v>
      </c>
      <c r="K597" s="162"/>
      <c r="L597" s="162"/>
      <c r="M597" s="162"/>
      <c r="N597" s="162"/>
      <c r="O597" s="162"/>
      <c r="P597" s="162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69"/>
      <c r="J598" s="214">
        <v>0</v>
      </c>
      <c r="K598" s="162"/>
      <c r="L598" s="162"/>
      <c r="M598" s="162"/>
      <c r="N598" s="162"/>
      <c r="O598" s="162"/>
      <c r="P598" s="162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255</v>
      </c>
      <c r="E599" s="625"/>
      <c r="F599" s="625"/>
      <c r="G599" s="761"/>
      <c r="H599" s="763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256</v>
      </c>
      <c r="E601" s="625"/>
      <c r="F601" s="625"/>
      <c r="G601" s="761"/>
      <c r="H601" s="763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257</v>
      </c>
      <c r="D603" s="617"/>
      <c r="E603" s="617"/>
      <c r="F603" s="625"/>
      <c r="G603" s="761"/>
      <c r="H603" s="763" t="s">
        <v>46</v>
      </c>
      <c r="I603" s="269"/>
      <c r="J603" s="269">
        <f>J605+J607</f>
        <v>1079</v>
      </c>
      <c r="K603" s="162"/>
      <c r="L603" s="162"/>
      <c r="M603" s="162"/>
      <c r="N603" s="162"/>
      <c r="O603" s="162"/>
      <c r="P603" s="162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69"/>
      <c r="J604" s="269">
        <f>J606+J608</f>
        <v>225</v>
      </c>
      <c r="K604" s="162"/>
      <c r="L604" s="162"/>
      <c r="M604" s="162"/>
      <c r="N604" s="162"/>
      <c r="O604" s="162"/>
      <c r="P604" s="162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258</v>
      </c>
      <c r="E605" s="625"/>
      <c r="F605" s="625"/>
      <c r="G605" s="761"/>
      <c r="H605" s="763" t="s">
        <v>46</v>
      </c>
      <c r="I605" s="269"/>
      <c r="J605" s="214">
        <v>1079</v>
      </c>
      <c r="K605" s="162"/>
      <c r="L605" s="162"/>
      <c r="M605" s="162"/>
      <c r="N605" s="162"/>
      <c r="O605" s="162"/>
      <c r="P605" s="162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69"/>
      <c r="J606" s="214">
        <v>225</v>
      </c>
      <c r="K606" s="162"/>
      <c r="L606" s="162"/>
      <c r="M606" s="162"/>
      <c r="N606" s="162"/>
      <c r="O606" s="162"/>
      <c r="P606" s="162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259</v>
      </c>
      <c r="E607" s="617"/>
      <c r="F607" s="625"/>
      <c r="G607" s="761"/>
      <c r="H607" s="763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260</v>
      </c>
      <c r="D609" s="617"/>
      <c r="E609" s="617"/>
      <c r="F609" s="625"/>
      <c r="G609" s="761"/>
      <c r="H609" s="763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261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262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>J614+J616</f>
        <v>0</v>
      </c>
      <c r="K612" s="716">
        <f>IF(I612&gt;0,J612*100/I612,0)</f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263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>J615+J617</f>
        <v>0</v>
      </c>
      <c r="K613" s="716">
        <f>IF(I613&gt;0,J613*100/I613,0)</f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264</v>
      </c>
      <c r="E614" s="615"/>
      <c r="F614" s="719"/>
      <c r="G614" s="365"/>
      <c r="H614" s="369" t="s">
        <v>46</v>
      </c>
      <c r="I614" s="616"/>
      <c r="J614" s="616">
        <v>0</v>
      </c>
      <c r="K614" s="166"/>
      <c r="L614" s="166"/>
      <c r="M614" s="166"/>
      <c r="N614" s="166"/>
      <c r="O614" s="166"/>
      <c r="P614" s="166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5"/>
      <c r="H615" s="369" t="s">
        <v>34</v>
      </c>
      <c r="I615" s="616"/>
      <c r="J615" s="616">
        <v>0</v>
      </c>
      <c r="K615" s="166"/>
      <c r="L615" s="166"/>
      <c r="M615" s="166"/>
      <c r="N615" s="166"/>
      <c r="O615" s="166"/>
      <c r="P615" s="166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264</v>
      </c>
      <c r="E616" s="719"/>
      <c r="F616" s="719"/>
      <c r="G616" s="365"/>
      <c r="H616" s="369" t="s">
        <v>46</v>
      </c>
      <c r="I616" s="616"/>
      <c r="J616" s="616">
        <v>0</v>
      </c>
      <c r="K616" s="166"/>
      <c r="L616" s="166"/>
      <c r="M616" s="166"/>
      <c r="N616" s="166"/>
      <c r="O616" s="166"/>
      <c r="P616" s="166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5"/>
      <c r="H617" s="369" t="s">
        <v>34</v>
      </c>
      <c r="I617" s="616"/>
      <c r="J617" s="616">
        <v>0</v>
      </c>
      <c r="K617" s="166"/>
      <c r="L617" s="166"/>
      <c r="M617" s="166"/>
      <c r="N617" s="166"/>
      <c r="O617" s="166"/>
      <c r="P617" s="166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265</v>
      </c>
      <c r="E618" s="719"/>
      <c r="F618" s="719"/>
      <c r="G618" s="365"/>
      <c r="H618" s="369" t="s">
        <v>46</v>
      </c>
      <c r="I618" s="616"/>
      <c r="J618" s="616">
        <v>0</v>
      </c>
      <c r="K618" s="166"/>
      <c r="L618" s="166"/>
      <c r="M618" s="166"/>
      <c r="N618" s="166"/>
      <c r="O618" s="166"/>
      <c r="P618" s="166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5"/>
      <c r="H619" s="369" t="s">
        <v>34</v>
      </c>
      <c r="I619" s="616"/>
      <c r="J619" s="616">
        <v>0</v>
      </c>
      <c r="K619" s="166"/>
      <c r="L619" s="166"/>
      <c r="M619" s="166"/>
      <c r="N619" s="166"/>
      <c r="O619" s="166"/>
      <c r="P619" s="166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266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IFERROR(__xludf.DUMMYFUNCTION("IMPORTRANGE(""https://docs.google.com/spreadsheets/d/1QqKyyYR6Q21VydFLVH3TRQUabQu_ym0Zz7PgGX0-kHA/edit?usp=sharing"",""แผน!HL79"")"),0)</f>
        <v>0</v>
      </c>
      <c r="J620" s="727">
        <f>J622+J624+J626</f>
        <v>0</v>
      </c>
      <c r="K620" s="728">
        <f ca="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267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IFERROR(__xludf.DUMMYFUNCTION("IMPORTRANGE(""https://docs.google.com/spreadsheets/d/1QqKyyYR6Q21VydFLVH3TRQUabQu_ym0Zz7PgGX0-kHA/edit?usp=sharing"",""แผน!HK79"")"),0)</f>
        <v>0</v>
      </c>
      <c r="J621" s="727">
        <f>J623+J625+J627</f>
        <v>0</v>
      </c>
      <c r="K621" s="728">
        <f ca="1">IF(I621&gt;0,J621*100/I621,0)</f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268</v>
      </c>
      <c r="E622" s="625"/>
      <c r="F622" s="625"/>
      <c r="G622" s="761"/>
      <c r="H622" s="763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264</v>
      </c>
      <c r="E624" s="625"/>
      <c r="F624" s="625"/>
      <c r="G624" s="761"/>
      <c r="H624" s="763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269</v>
      </c>
      <c r="E626" s="625"/>
      <c r="F626" s="625"/>
      <c r="G626" s="761"/>
      <c r="H626" s="763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2" t="s">
        <v>34</v>
      </c>
      <c r="I627" s="505"/>
      <c r="J627" s="424">
        <v>0</v>
      </c>
      <c r="K627" s="384"/>
      <c r="L627" s="384"/>
      <c r="M627" s="384"/>
      <c r="N627" s="384"/>
      <c r="O627" s="384"/>
      <c r="P627" s="384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270</v>
      </c>
      <c r="C628" s="737"/>
      <c r="D628" s="737"/>
      <c r="E628" s="737"/>
      <c r="F628" s="737"/>
      <c r="G628" s="738"/>
      <c r="H628" s="739" t="s">
        <v>35</v>
      </c>
      <c r="I628" s="740">
        <f ca="1">I651</f>
        <v>7</v>
      </c>
      <c r="J628" s="740">
        <f ca="1">J651</f>
        <v>22</v>
      </c>
      <c r="K628" s="741">
        <f ca="1">IF(I628&gt;0,J628*100/I628,0)</f>
        <v>314.28571428571428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887" t="s">
        <v>17</v>
      </c>
      <c r="E629" s="888"/>
      <c r="F629" s="888"/>
      <c r="G629" s="188"/>
      <c r="H629" s="597" t="s">
        <v>12</v>
      </c>
      <c r="I629" s="269"/>
      <c r="J629" s="269"/>
      <c r="K629" s="497"/>
      <c r="L629" s="194">
        <f ca="1">L630+L631</f>
        <v>167365</v>
      </c>
      <c r="M629" s="194">
        <f ca="1">M630+M631</f>
        <v>95680</v>
      </c>
      <c r="N629" s="194">
        <f>N630+N631</f>
        <v>95680</v>
      </c>
      <c r="O629" s="194">
        <f t="shared" ref="O629:O634" ca="1" si="90">IF(L629&gt;0,N629*100/L629,0)</f>
        <v>57.168464135273204</v>
      </c>
      <c r="P629" s="194">
        <f t="shared" ref="P629:P634" ca="1" si="91">IF(M629&gt;0,N629*100/M629,0)</f>
        <v>100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184</v>
      </c>
      <c r="F630" s="758"/>
      <c r="G630" s="602"/>
      <c r="H630" s="164" t="s">
        <v>12</v>
      </c>
      <c r="I630" s="616"/>
      <c r="J630" s="616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185</v>
      </c>
      <c r="F631" s="758"/>
      <c r="G631" s="602"/>
      <c r="H631" s="164" t="s">
        <v>12</v>
      </c>
      <c r="I631" s="616"/>
      <c r="J631" s="616"/>
      <c r="K631" s="92"/>
      <c r="L631" s="92">
        <f t="shared" ca="1" si="92"/>
        <v>167365</v>
      </c>
      <c r="M631" s="92">
        <f t="shared" ca="1" si="92"/>
        <v>95680</v>
      </c>
      <c r="N631" s="92">
        <f t="shared" si="92"/>
        <v>95680</v>
      </c>
      <c r="O631" s="92">
        <f t="shared" ca="1" si="90"/>
        <v>57.168464135273204</v>
      </c>
      <c r="P631" s="92">
        <f t="shared" ca="1" si="91"/>
        <v>100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8"/>
      <c r="H632" s="160" t="s">
        <v>12</v>
      </c>
      <c r="I632" s="183"/>
      <c r="J632" s="183"/>
      <c r="K632" s="162"/>
      <c r="L632" s="497">
        <f ca="1">L633+L634</f>
        <v>167365</v>
      </c>
      <c r="M632" s="497">
        <f ca="1">M633+M634</f>
        <v>95680</v>
      </c>
      <c r="N632" s="497">
        <f>N633+N634</f>
        <v>95680</v>
      </c>
      <c r="O632" s="497">
        <f t="shared" ca="1" si="90"/>
        <v>57.168464135273204</v>
      </c>
      <c r="P632" s="497">
        <f t="shared" ca="1" si="91"/>
        <v>100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184</v>
      </c>
      <c r="F633" s="758"/>
      <c r="G633" s="602"/>
      <c r="H633" s="164" t="s">
        <v>12</v>
      </c>
      <c r="I633" s="616"/>
      <c r="J633" s="616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185</v>
      </c>
      <c r="F634" s="758"/>
      <c r="G634" s="602"/>
      <c r="H634" s="164" t="s">
        <v>12</v>
      </c>
      <c r="I634" s="616"/>
      <c r="J634" s="616"/>
      <c r="K634" s="92"/>
      <c r="L634" s="92">
        <f ca="1">IFERROR(__xludf.DUMMYFUNCTION("IMPORTRANGE(""https://docs.google.com/spreadsheets/d/1QqKyyYR6Q21VydFLVH3TRQUabQu_ym0Zz7PgGX0-kHA/edit?usp=sharing"",""แผน!HN79"")"),167365)</f>
        <v>167365</v>
      </c>
      <c r="M634" s="92">
        <f ca="1">L634-71685</f>
        <v>95680</v>
      </c>
      <c r="N634" s="92">
        <f>N635+N636+N637+N638</f>
        <v>95680</v>
      </c>
      <c r="O634" s="92">
        <f t="shared" ca="1" si="90"/>
        <v>57.168464135273204</v>
      </c>
      <c r="P634" s="92">
        <f t="shared" ca="1" si="91"/>
        <v>100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826">
        <v>0</v>
      </c>
      <c r="O635" s="497"/>
      <c r="P635" s="497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826">
        <v>0</v>
      </c>
      <c r="O636" s="497"/>
      <c r="P636" s="497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826">
        <v>0</v>
      </c>
      <c r="O637" s="497"/>
      <c r="P637" s="497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826">
        <f>[1]ผลการเบิกจ่ายเงินกองทุน!F37</f>
        <v>95680</v>
      </c>
      <c r="O638" s="497"/>
      <c r="P638" s="497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IFERROR(__xludf.DUMMYFUNCTION("IMPORTRANGE(""https://docs.google.com/spreadsheets/d/1QqKyyYR6Q21VydFLVH3TRQUabQu_ym0Zz7PgGX0-kHA/edit?usp=sharing"",""แผน!HQ79"")"),0)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41" t="s">
        <v>38</v>
      </c>
      <c r="E642" s="760"/>
      <c r="F642" s="760"/>
      <c r="G642" s="612"/>
      <c r="H642" s="761"/>
      <c r="I642" s="183"/>
      <c r="J642" s="183"/>
      <c r="K642" s="162"/>
      <c r="L642" s="162"/>
      <c r="M642" s="162"/>
      <c r="N642" s="162"/>
      <c r="O642" s="162"/>
      <c r="P642" s="162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271</v>
      </c>
      <c r="F643" s="625"/>
      <c r="G643" s="761"/>
      <c r="H643" s="763" t="s">
        <v>272</v>
      </c>
      <c r="I643" s="269">
        <f ca="1">IFERROR(__xludf.DUMMYFUNCTION("IMPORTRANGE(""https://docs.google.com/spreadsheets/d/1QqKyyYR6Q21VydFLVH3TRQUabQu_ym0Zz7PgGX0-kHA/edit?usp=sharing"",""แผน!HR79"")"),0)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273</v>
      </c>
      <c r="F644" s="625"/>
      <c r="G644" s="761"/>
      <c r="H644" s="763" t="s">
        <v>274</v>
      </c>
      <c r="I644" s="269">
        <f ca="1">IFERROR(__xludf.DUMMYFUNCTION("IMPORTRANGE(""https://docs.google.com/spreadsheets/d/1QqKyyYR6Q21VydFLVH3TRQUabQu_ym0Zz7PgGX0-kHA/edit?usp=sharing"",""แผน!HR79"")"),0)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275</v>
      </c>
      <c r="F645" s="625"/>
      <c r="G645" s="761"/>
      <c r="H645" s="763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IFERROR(__xludf.DUMMYFUNCTION("IMPORTRANGE(""https://docs.google.com/spreadsheets/d/1XWAQStnk-4SwqDmLtmXYiTMKHgktTP8We1SCoS47DrQ/edit?usp=sharing"",""จัดที่ดิน!AS79"")"),23)</f>
        <v>23</v>
      </c>
      <c r="K645" s="162">
        <f t="shared" si="93"/>
        <v>0</v>
      </c>
      <c r="L645" s="162"/>
      <c r="M645" s="162"/>
      <c r="N645" s="497"/>
      <c r="O645" s="162"/>
      <c r="P645" s="162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IFERROR(__xludf.DUMMYFUNCTION("IMPORTRANGE(""https://docs.google.com/spreadsheets/d/1XWAQStnk-4SwqDmLtmXYiTMKHgktTP8We1SCoS47DrQ/edit?usp=sharing"",""จัดที่ดิน!AT79"")"),5.61)</f>
        <v>5.61</v>
      </c>
      <c r="K646" s="497">
        <f t="shared" si="93"/>
        <v>0</v>
      </c>
      <c r="L646" s="162"/>
      <c r="M646" s="162"/>
      <c r="N646" s="497"/>
      <c r="O646" s="162"/>
      <c r="P646" s="162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69">
        <f ca="1">IFERROR(__xludf.DUMMYFUNCTION("IMPORTRANGE(""https://docs.google.com/spreadsheets/d/1QqKyyYR6Q21VydFLVH3TRQUabQu_ym0Zz7PgGX0-kHA/edit?usp=sharing"",""แผน!HS79"")"),7)</f>
        <v>7</v>
      </c>
      <c r="J647" s="269">
        <f ca="1">IFERROR(__xludf.DUMMYFUNCTION("IMPORTRANGE(""https://docs.google.com/spreadsheets/d/1XWAQStnk-4SwqDmLtmXYiTMKHgktTP8We1SCoS47DrQ/edit?usp=sharing"",""จัดที่ดิน!AU79"")"),22)</f>
        <v>22</v>
      </c>
      <c r="K647" s="162">
        <f t="shared" ca="1" si="93"/>
        <v>314.28571428571428</v>
      </c>
      <c r="L647" s="162"/>
      <c r="M647" s="162"/>
      <c r="N647" s="162"/>
      <c r="O647" s="162"/>
      <c r="P647" s="162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IFERROR(__xludf.DUMMYFUNCTION("IMPORTRANGE(""https://docs.google.com/spreadsheets/d/1XWAQStnk-4SwqDmLtmXYiTMKHgktTP8We1SCoS47DrQ/edit?usp=sharing"",""จัดที่ดิน!AV79"")"),5.38)</f>
        <v>5.38</v>
      </c>
      <c r="K648" s="497">
        <f t="shared" si="93"/>
        <v>0</v>
      </c>
      <c r="L648" s="162"/>
      <c r="M648" s="162"/>
      <c r="N648" s="162"/>
      <c r="O648" s="162"/>
      <c r="P648" s="162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276</v>
      </c>
      <c r="F649" s="625"/>
      <c r="G649" s="761"/>
      <c r="H649" s="763" t="s">
        <v>35</v>
      </c>
      <c r="I649" s="269">
        <f ca="1">IFERROR(__xludf.DUMMYFUNCTION("IMPORTRANGE(""https://docs.google.com/spreadsheets/d/1QqKyyYR6Q21VydFLVH3TRQUabQu_ym0Zz7PgGX0-kHA/edit?usp=sharing"",""แผน!HS79"")"),7)</f>
        <v>7</v>
      </c>
      <c r="J649" s="269">
        <f ca="1">IFERROR(__xludf.DUMMYFUNCTION("IMPORTRANGE(""https://docs.google.com/spreadsheets/d/1XWAQStnk-4SwqDmLtmXYiTMKHgktTP8We1SCoS47DrQ/edit?usp=sharing"",""จัดที่ดิน!AW79"")"),22)</f>
        <v>22</v>
      </c>
      <c r="K649" s="162">
        <f t="shared" ca="1" si="93"/>
        <v>314.28571428571428</v>
      </c>
      <c r="L649" s="162"/>
      <c r="M649" s="162"/>
      <c r="N649" s="162"/>
      <c r="O649" s="162"/>
      <c r="P649" s="162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IFERROR(__xludf.DUMMYFUNCTION("IMPORTRANGE(""https://docs.google.com/spreadsheets/d/1XWAQStnk-4SwqDmLtmXYiTMKHgktTP8We1SCoS47DrQ/edit?usp=sharing"",""จัดที่ดิน!AX79"")"),5.38)</f>
        <v>5.38</v>
      </c>
      <c r="K650" s="497">
        <f t="shared" si="93"/>
        <v>0</v>
      </c>
      <c r="L650" s="162"/>
      <c r="M650" s="162"/>
      <c r="N650" s="162"/>
      <c r="O650" s="162"/>
      <c r="P650" s="162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277</v>
      </c>
      <c r="F651" s="625"/>
      <c r="G651" s="761"/>
      <c r="H651" s="763" t="s">
        <v>35</v>
      </c>
      <c r="I651" s="269">
        <f ca="1">IFERROR(__xludf.DUMMYFUNCTION("IMPORTRANGE(""https://docs.google.com/spreadsheets/d/1QqKyyYR6Q21VydFLVH3TRQUabQu_ym0Zz7PgGX0-kHA/edit?usp=sharing"",""แผน!HS79"")"),7)</f>
        <v>7</v>
      </c>
      <c r="J651" s="269">
        <f ca="1">IFERROR(__xludf.DUMMYFUNCTION("IMPORTRANGE(""https://docs.google.com/spreadsheets/d/1XWAQStnk-4SwqDmLtmXYiTMKHgktTP8We1SCoS47DrQ/edit?usp=sharing"",""จัดที่ดิน!AY79"")"),22)</f>
        <v>22</v>
      </c>
      <c r="K651" s="162">
        <f t="shared" ca="1" si="93"/>
        <v>314.28571428571428</v>
      </c>
      <c r="L651" s="162"/>
      <c r="M651" s="162"/>
      <c r="N651" s="162"/>
      <c r="O651" s="162"/>
      <c r="P651" s="162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IFERROR(__xludf.DUMMYFUNCTION("IMPORTRANGE(""https://docs.google.com/spreadsheets/d/1XWAQStnk-4SwqDmLtmXYiTMKHgktTP8We1SCoS47DrQ/edit?usp=sharing"",""จัดที่ดิน!AZ79"")"),5.3825)</f>
        <v>5.3825000000000003</v>
      </c>
      <c r="K652" s="506">
        <f t="shared" si="93"/>
        <v>0</v>
      </c>
      <c r="L652" s="384"/>
      <c r="M652" s="384"/>
      <c r="N652" s="384"/>
      <c r="O652" s="384"/>
      <c r="P652" s="384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278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279</v>
      </c>
      <c r="C654" s="672"/>
      <c r="D654" s="672"/>
      <c r="E654" s="672"/>
      <c r="F654" s="672"/>
      <c r="G654" s="673"/>
      <c r="H654" s="706" t="s">
        <v>46</v>
      </c>
      <c r="I654" s="707">
        <f ca="1">I669</f>
        <v>50</v>
      </c>
      <c r="J654" s="707">
        <f>J669</f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887" t="s">
        <v>17</v>
      </c>
      <c r="E655" s="888"/>
      <c r="F655" s="888"/>
      <c r="G655" s="188"/>
      <c r="H655" s="597" t="s">
        <v>12</v>
      </c>
      <c r="I655" s="269"/>
      <c r="J655" s="269"/>
      <c r="K655" s="497"/>
      <c r="L655" s="194">
        <f ca="1">L656+L657</f>
        <v>11000</v>
      </c>
      <c r="M655" s="194">
        <f ca="1">M656+M657</f>
        <v>11000</v>
      </c>
      <c r="N655" s="194">
        <f>N656+N657</f>
        <v>11000</v>
      </c>
      <c r="O655" s="194">
        <f t="shared" ref="O655:O660" ca="1" si="94">IF(L655&gt;0,N655*100/L655,0)</f>
        <v>100</v>
      </c>
      <c r="P655" s="194">
        <f t="shared" ref="P655:P660" ca="1" si="95">IF(M655&gt;0,N655*100/M655,0)</f>
        <v>100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184</v>
      </c>
      <c r="F656" s="758"/>
      <c r="G656" s="602"/>
      <c r="H656" s="164" t="s">
        <v>12</v>
      </c>
      <c r="I656" s="616"/>
      <c r="J656" s="616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185</v>
      </c>
      <c r="F657" s="758"/>
      <c r="G657" s="602"/>
      <c r="H657" s="164" t="s">
        <v>12</v>
      </c>
      <c r="I657" s="616"/>
      <c r="J657" s="616"/>
      <c r="K657" s="92"/>
      <c r="L657" s="92">
        <f t="shared" ca="1" si="96"/>
        <v>11000</v>
      </c>
      <c r="M657" s="92">
        <f t="shared" ca="1" si="96"/>
        <v>11000</v>
      </c>
      <c r="N657" s="92">
        <f t="shared" si="96"/>
        <v>11000</v>
      </c>
      <c r="O657" s="92">
        <f t="shared" ca="1" si="94"/>
        <v>100</v>
      </c>
      <c r="P657" s="92">
        <f t="shared" ca="1" si="95"/>
        <v>100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8"/>
      <c r="H658" s="160" t="s">
        <v>12</v>
      </c>
      <c r="I658" s="183"/>
      <c r="J658" s="183"/>
      <c r="K658" s="162"/>
      <c r="L658" s="497">
        <f ca="1">L659+L660</f>
        <v>11000</v>
      </c>
      <c r="M658" s="497">
        <f ca="1">M659+M660</f>
        <v>11000</v>
      </c>
      <c r="N658" s="497">
        <f>N659+N660</f>
        <v>11000</v>
      </c>
      <c r="O658" s="497">
        <f t="shared" ca="1" si="94"/>
        <v>100</v>
      </c>
      <c r="P658" s="497">
        <f t="shared" ca="1" si="95"/>
        <v>100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184</v>
      </c>
      <c r="F659" s="758"/>
      <c r="G659" s="602"/>
      <c r="H659" s="164" t="s">
        <v>12</v>
      </c>
      <c r="I659" s="616"/>
      <c r="J659" s="616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185</v>
      </c>
      <c r="F660" s="758"/>
      <c r="G660" s="602"/>
      <c r="H660" s="164" t="s">
        <v>12</v>
      </c>
      <c r="I660" s="616"/>
      <c r="J660" s="616"/>
      <c r="K660" s="92"/>
      <c r="L660" s="92">
        <f ca="1">IFERROR(__xludf.DUMMYFUNCTION("IMPORTRANGE(""https://docs.google.com/spreadsheets/d/1QqKyyYR6Q21VydFLVH3TRQUabQu_ym0Zz7PgGX0-kHA/edit?usp=sharing"",""แผน!HV79"")"),11000)</f>
        <v>11000</v>
      </c>
      <c r="M660" s="92">
        <f ca="1">L660</f>
        <v>11000</v>
      </c>
      <c r="N660" s="92">
        <f>N661+N662+N663+N664</f>
        <v>11000</v>
      </c>
      <c r="O660" s="92">
        <f t="shared" ca="1" si="94"/>
        <v>100</v>
      </c>
      <c r="P660" s="92">
        <f t="shared" ca="1" si="95"/>
        <v>100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826">
        <v>0</v>
      </c>
      <c r="O661" s="497"/>
      <c r="P661" s="497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826">
        <v>0</v>
      </c>
      <c r="O662" s="497"/>
      <c r="P662" s="497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826">
        <v>0</v>
      </c>
      <c r="O663" s="497"/>
      <c r="P663" s="497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826">
        <f>[1]ผลการเบิกจ่ายเงินกองทุน!F12</f>
        <v>11000</v>
      </c>
      <c r="O664" s="497"/>
      <c r="P664" s="497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40" t="s">
        <v>38</v>
      </c>
      <c r="E668" s="760"/>
      <c r="F668" s="760"/>
      <c r="G668" s="612"/>
      <c r="H668" s="761"/>
      <c r="I668" s="183"/>
      <c r="J668" s="183"/>
      <c r="K668" s="162"/>
      <c r="L668" s="162"/>
      <c r="M668" s="162"/>
      <c r="N668" s="162"/>
      <c r="O668" s="162"/>
      <c r="P668" s="162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280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IFERROR(__xludf.DUMMYFUNCTION("IMPORTRANGE(""https://docs.google.com/spreadsheets/d/1QqKyyYR6Q21VydFLVH3TRQUabQu_ym0Zz7PgGX0-kHA/edit?usp=sharing"",""แผน!IA79"")"),50)</f>
        <v>50</v>
      </c>
      <c r="J669" s="680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281</v>
      </c>
      <c r="F670" s="625"/>
      <c r="G670" s="761"/>
      <c r="H670" s="763" t="s">
        <v>66</v>
      </c>
      <c r="I670" s="269">
        <f ca="1">IFERROR(__xludf.DUMMYFUNCTION("IMPORTRANGE(""https://docs.google.com/spreadsheets/d/1QqKyyYR6Q21VydFLVH3TRQUabQu_ym0Zz7PgGX0-kHA/edit?usp=sharing"",""แผน!HZ79"")"),5)</f>
        <v>5</v>
      </c>
      <c r="J670" s="214">
        <v>5</v>
      </c>
      <c r="K670" s="497">
        <f ca="1">IF(I670&gt;0,(J670*100)/I670,0)</f>
        <v>100</v>
      </c>
      <c r="L670" s="162"/>
      <c r="M670" s="162"/>
      <c r="N670" s="162"/>
      <c r="O670" s="162"/>
      <c r="P670" s="162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282</v>
      </c>
      <c r="F671" s="625"/>
      <c r="G671" s="761"/>
      <c r="H671" s="763" t="s">
        <v>66</v>
      </c>
      <c r="I671" s="269">
        <f ca="1">IFERROR(__xludf.DUMMYFUNCTION("IMPORTRANGE(""https://docs.google.com/spreadsheets/d/1QqKyyYR6Q21VydFLVH3TRQUabQu_ym0Zz7PgGX0-kHA/edit?usp=sharing"",""แผน!HZ79"")"),5)</f>
        <v>5</v>
      </c>
      <c r="J671" s="214">
        <v>5</v>
      </c>
      <c r="K671" s="497">
        <f ca="1">IF(I$671&gt;0,J671*100/I$671,0)</f>
        <v>100</v>
      </c>
      <c r="L671" s="162"/>
      <c r="M671" s="162"/>
      <c r="N671" s="162"/>
      <c r="O671" s="162"/>
      <c r="P671" s="162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283</v>
      </c>
      <c r="F672" s="625"/>
      <c r="G672" s="761"/>
      <c r="H672" s="763" t="s">
        <v>46</v>
      </c>
      <c r="I672" s="269"/>
      <c r="J672" s="214">
        <v>57</v>
      </c>
      <c r="K672" s="497">
        <f ca="1">IF(I$669&gt;0,J672*100/I$669,0)</f>
        <v>114</v>
      </c>
      <c r="L672" s="162"/>
      <c r="M672" s="162"/>
      <c r="N672" s="162"/>
      <c r="O672" s="162"/>
      <c r="P672" s="162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284</v>
      </c>
      <c r="F673" s="625"/>
      <c r="G673" s="761"/>
      <c r="H673" s="763" t="s">
        <v>46</v>
      </c>
      <c r="I673" s="269"/>
      <c r="J673" s="214">
        <v>57</v>
      </c>
      <c r="K673" s="497">
        <f ca="1">IF(I$669&gt;0,J673*100/I$669,0)</f>
        <v>114</v>
      </c>
      <c r="L673" s="162"/>
      <c r="M673" s="162"/>
      <c r="N673" s="162"/>
      <c r="O673" s="162"/>
      <c r="P673" s="162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285</v>
      </c>
      <c r="F674" s="625"/>
      <c r="G674" s="761"/>
      <c r="H674" s="763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286</v>
      </c>
      <c r="F675" s="625"/>
      <c r="G675" s="761"/>
      <c r="H675" s="763" t="s">
        <v>46</v>
      </c>
      <c r="I675" s="269"/>
      <c r="J675" s="680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287</v>
      </c>
      <c r="G676" s="761"/>
      <c r="H676" s="763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288</v>
      </c>
      <c r="G677" s="761"/>
      <c r="H677" s="763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289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IFERROR(__xludf.DUMMYFUNCTION("IMPORTRANGE(""https://docs.google.com/spreadsheets/d/1QqKyyYR6Q21VydFLVH3TRQUabQu_ym0Zz7PgGX0-kHA/edit?usp=sharing"",""แผน!IB79"")"),0)</f>
        <v>0</v>
      </c>
      <c r="J678" s="680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290</v>
      </c>
      <c r="F679" s="625"/>
      <c r="G679" s="761"/>
      <c r="H679" s="763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287</v>
      </c>
      <c r="G680" s="761"/>
      <c r="H680" s="763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288</v>
      </c>
      <c r="G681" s="761"/>
      <c r="H681" s="763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291</v>
      </c>
      <c r="F682" s="625"/>
      <c r="G682" s="761"/>
      <c r="H682" s="763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292</v>
      </c>
      <c r="G683" s="761"/>
      <c r="H683" s="763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>
      <c r="A684" s="752"/>
      <c r="B684" s="753" t="s">
        <v>293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>
      <c r="A685" s="596"/>
      <c r="B685" s="762"/>
      <c r="C685" s="762" t="s">
        <v>16</v>
      </c>
      <c r="D685" s="887" t="s">
        <v>17</v>
      </c>
      <c r="E685" s="888"/>
      <c r="F685" s="888"/>
      <c r="G685" s="188"/>
      <c r="H685" s="597" t="s">
        <v>12</v>
      </c>
      <c r="I685" s="269"/>
      <c r="J685" s="269"/>
      <c r="K685" s="497"/>
      <c r="L685" s="194">
        <f ca="1">L686+L687</f>
        <v>37480</v>
      </c>
      <c r="M685" s="194">
        <f ca="1">M686+M687</f>
        <v>32200</v>
      </c>
      <c r="N685" s="194">
        <f>N686+N687</f>
        <v>32200</v>
      </c>
      <c r="O685" s="194">
        <f ca="1">IF(L685&gt;0,N685*100/L685,0)</f>
        <v>85.91248665955176</v>
      </c>
      <c r="P685" s="194">
        <f ca="1">IF(M685&gt;0,N685*100/M685,0)</f>
        <v>100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184</v>
      </c>
      <c r="F686" s="758"/>
      <c r="G686" s="602"/>
      <c r="H686" s="164" t="s">
        <v>12</v>
      </c>
      <c r="I686" s="616"/>
      <c r="J686" s="616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185</v>
      </c>
      <c r="F687" s="758"/>
      <c r="G687" s="602"/>
      <c r="H687" s="164" t="s">
        <v>12</v>
      </c>
      <c r="I687" s="616"/>
      <c r="J687" s="616"/>
      <c r="K687" s="92"/>
      <c r="L687" s="92">
        <f t="shared" ca="1" si="97"/>
        <v>37480</v>
      </c>
      <c r="M687" s="92">
        <f t="shared" ca="1" si="97"/>
        <v>32200</v>
      </c>
      <c r="N687" s="92">
        <f t="shared" si="97"/>
        <v>32200</v>
      </c>
      <c r="O687" s="92">
        <f ca="1">IF(L687&gt;0,N687*100/L687,0)</f>
        <v>85.91248665955176</v>
      </c>
      <c r="P687" s="92">
        <f ca="1">IF(M687&gt;0,N687*100/M687,0)</f>
        <v>100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>
      <c r="A688" s="596"/>
      <c r="B688" s="574"/>
      <c r="C688" s="762"/>
      <c r="D688" s="605" t="s">
        <v>20</v>
      </c>
      <c r="E688" s="762"/>
      <c r="F688" s="762"/>
      <c r="G688" s="188"/>
      <c r="H688" s="160" t="s">
        <v>12</v>
      </c>
      <c r="I688" s="183"/>
      <c r="J688" s="183"/>
      <c r="K688" s="162"/>
      <c r="L688" s="497">
        <f ca="1">L689+L690</f>
        <v>37480</v>
      </c>
      <c r="M688" s="497">
        <f ca="1">M689+M690</f>
        <v>32200</v>
      </c>
      <c r="N688" s="497">
        <f>N689+N690</f>
        <v>32200</v>
      </c>
      <c r="O688" s="497">
        <f ca="1">IF(L688&gt;0,N688*100/L688,0)</f>
        <v>85.91248665955176</v>
      </c>
      <c r="P688" s="497">
        <f ca="1">IF(M688&gt;0,N688*100/M688,0)</f>
        <v>100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184</v>
      </c>
      <c r="F689" s="758"/>
      <c r="G689" s="602"/>
      <c r="H689" s="164" t="s">
        <v>12</v>
      </c>
      <c r="I689" s="616"/>
      <c r="J689" s="616"/>
      <c r="K689" s="92"/>
      <c r="L689" s="92">
        <v>0</v>
      </c>
      <c r="M689" s="92">
        <v>0</v>
      </c>
      <c r="N689" s="92">
        <v>0</v>
      </c>
      <c r="O689" s="92"/>
      <c r="P689" s="92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185</v>
      </c>
      <c r="F690" s="758"/>
      <c r="G690" s="602"/>
      <c r="H690" s="164" t="s">
        <v>12</v>
      </c>
      <c r="I690" s="616"/>
      <c r="J690" s="616"/>
      <c r="K690" s="92"/>
      <c r="L690" s="92">
        <f ca="1">IFERROR(__xludf.DUMMYFUNCTION("IMPORTRANGE(""https://docs.google.com/spreadsheets/d/1QqKyyYR6Q21VydFLVH3TRQUabQu_ym0Zz7PgGX0-kHA/edit?usp=sharing"",""แผน!HW79"")"),37480)</f>
        <v>37480</v>
      </c>
      <c r="M690" s="92">
        <f ca="1">L690-5280</f>
        <v>32200</v>
      </c>
      <c r="N690" s="92">
        <f>N691+N692+N693+N694</f>
        <v>32200</v>
      </c>
      <c r="O690" s="92">
        <f ca="1">IF(L690&gt;0,N690*100/L690,0)</f>
        <v>85.91248665955176</v>
      </c>
      <c r="P690" s="92">
        <f ca="1">IF(M690&gt;0,N690*100/M690,0)</f>
        <v>100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>
      <c r="A691" s="573"/>
      <c r="B691" s="574"/>
      <c r="C691" s="762"/>
      <c r="D691" s="762"/>
      <c r="E691" s="762"/>
      <c r="F691" s="762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826">
        <v>0</v>
      </c>
      <c r="O691" s="497"/>
      <c r="P691" s="497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>
      <c r="A692" s="573"/>
      <c r="B692" s="574"/>
      <c r="C692" s="762"/>
      <c r="D692" s="762"/>
      <c r="E692" s="762"/>
      <c r="F692" s="762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826">
        <v>0</v>
      </c>
      <c r="O692" s="497"/>
      <c r="P692" s="497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>
      <c r="A693" s="573"/>
      <c r="B693" s="574"/>
      <c r="C693" s="762"/>
      <c r="D693" s="762"/>
      <c r="E693" s="762"/>
      <c r="F693" s="762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826">
        <v>0</v>
      </c>
      <c r="O693" s="497"/>
      <c r="P693" s="497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>
      <c r="A694" s="573"/>
      <c r="B694" s="574"/>
      <c r="C694" s="762"/>
      <c r="D694" s="762"/>
      <c r="E694" s="762"/>
      <c r="F694" s="762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826">
        <f>[1]ผลการเบิกจ่ายเงินกองทุน!F7</f>
        <v>32200</v>
      </c>
      <c r="O694" s="497"/>
      <c r="P694" s="497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>
      <c r="A695" s="596"/>
      <c r="B695" s="574"/>
      <c r="C695" s="762"/>
      <c r="D695" s="605" t="s">
        <v>21</v>
      </c>
      <c r="E695" s="762"/>
      <c r="F695" s="762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>
      <c r="A698" s="607"/>
      <c r="B698" s="617"/>
      <c r="C698" s="762" t="s">
        <v>16</v>
      </c>
      <c r="D698" s="838" t="s">
        <v>38</v>
      </c>
      <c r="E698" s="760"/>
      <c r="F698" s="760"/>
      <c r="G698" s="612"/>
      <c r="H698" s="761"/>
      <c r="I698" s="183"/>
      <c r="J698" s="183"/>
      <c r="K698" s="162"/>
      <c r="L698" s="162"/>
      <c r="M698" s="162"/>
      <c r="N698" s="162"/>
      <c r="O698" s="162"/>
      <c r="P698" s="162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>
      <c r="A699" s="743"/>
      <c r="B699" s="762"/>
      <c r="C699" s="762"/>
      <c r="D699" s="762" t="s">
        <v>294</v>
      </c>
      <c r="E699" s="762"/>
      <c r="F699" s="762"/>
      <c r="G699" s="188"/>
      <c r="H699" s="763" t="s">
        <v>46</v>
      </c>
      <c r="I699" s="764">
        <f ca="1">IFERROR(__xludf.DUMMYFUNCTION("IMPORTRANGE(""https://docs.google.com/spreadsheets/d/1QqKyyYR6Q21VydFLVH3TRQUabQu_ym0Zz7PgGX0-kHA/edit?usp=sharing"",""แผน!IC79"")"),248)</f>
        <v>248</v>
      </c>
      <c r="J699" s="269">
        <f ca="1">IFERROR(__xludf.DUMMYFUNCTION("IMPORTRANGE(""https://docs.google.com/spreadsheets/d/1XWAQStnk-4SwqDmLtmXYiTMKHgktTP8We1SCoS47DrQ/edit?usp=sharing"",""จัดที่ดิน!BB79"")"),248.31)</f>
        <v>248.31</v>
      </c>
      <c r="K699" s="497">
        <f ca="1">IF(I699&gt;0,J699*100/I699,0)</f>
        <v>100.125</v>
      </c>
      <c r="L699" s="497"/>
      <c r="M699" s="188"/>
      <c r="N699" s="765"/>
      <c r="O699" s="497"/>
      <c r="P699" s="497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>
      <c r="A700" s="743"/>
      <c r="B700" s="762"/>
      <c r="C700" s="762"/>
      <c r="D700" s="762" t="s">
        <v>295</v>
      </c>
      <c r="E700" s="762"/>
      <c r="F700" s="762"/>
      <c r="G700" s="188"/>
      <c r="H700" s="763" t="s">
        <v>35</v>
      </c>
      <c r="I700" s="764">
        <f ca="1">IFERROR(__xludf.DUMMYFUNCTION("IMPORTRANGE(""https://docs.google.com/spreadsheets/d/1QqKyyYR6Q21VydFLVH3TRQUabQu_ym0Zz7PgGX0-kHA/edit?usp=sharing"",""แผน!ID79"")"),56)</f>
        <v>56</v>
      </c>
      <c r="J700" s="269">
        <f ca="1">IFERROR(__xludf.DUMMYFUNCTION("IMPORTRANGE(""https://docs.google.com/spreadsheets/d/1XWAQStnk-4SwqDmLtmXYiTMKHgktTP8We1SCoS47DrQ/edit?usp=sharing"",""จัดที่ดิน!BD79"")"),60)</f>
        <v>60</v>
      </c>
      <c r="K700" s="497">
        <f ca="1">IF(I700&gt;0,J700*100/I700,0)</f>
        <v>107.14285714285714</v>
      </c>
      <c r="L700" s="497"/>
      <c r="M700" s="188"/>
      <c r="N700" s="765"/>
      <c r="O700" s="497"/>
      <c r="P700" s="497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>
      <c r="A701" s="743"/>
      <c r="B701" s="762"/>
      <c r="C701" s="762"/>
      <c r="D701" s="762" t="s">
        <v>296</v>
      </c>
      <c r="E701" s="762"/>
      <c r="F701" s="762"/>
      <c r="G701" s="188"/>
      <c r="H701" s="766" t="s">
        <v>46</v>
      </c>
      <c r="I701" s="767">
        <f ca="1">IFERROR(__xludf.DUMMYFUNCTION("IMPORTRANGE(""https://docs.google.com/spreadsheets/d/1QqKyyYR6Q21VydFLVH3TRQUabQu_ym0Zz7PgGX0-kHA/edit?usp=sharing"",""แผน!IE79"")"),0)</f>
        <v>0</v>
      </c>
      <c r="J701" s="680">
        <f>J704+J707</f>
        <v>0</v>
      </c>
      <c r="K701" s="194">
        <f ca="1">IF(I701&gt;0,J701*100/I701,0)</f>
        <v>0</v>
      </c>
      <c r="L701" s="497"/>
      <c r="M701" s="188"/>
      <c r="N701" s="765"/>
      <c r="O701" s="497"/>
      <c r="P701" s="497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>
      <c r="A702" s="743"/>
      <c r="B702" s="762"/>
      <c r="C702" s="762"/>
      <c r="D702" s="762"/>
      <c r="E702" s="762" t="s">
        <v>297</v>
      </c>
      <c r="F702" s="762"/>
      <c r="G702" s="188"/>
      <c r="H702" s="763" t="s">
        <v>35</v>
      </c>
      <c r="I702" s="764"/>
      <c r="J702" s="214">
        <v>0</v>
      </c>
      <c r="K702" s="497"/>
      <c r="L702" s="497"/>
      <c r="M702" s="188"/>
      <c r="N702" s="765"/>
      <c r="O702" s="497"/>
      <c r="P702" s="497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>
      <c r="A703" s="743"/>
      <c r="B703" s="762"/>
      <c r="C703" s="762"/>
      <c r="D703" s="762"/>
      <c r="E703" s="762"/>
      <c r="F703" s="762"/>
      <c r="G703" s="188"/>
      <c r="H703" s="763" t="s">
        <v>34</v>
      </c>
      <c r="I703" s="764"/>
      <c r="J703" s="214">
        <v>0</v>
      </c>
      <c r="K703" s="497"/>
      <c r="L703" s="497"/>
      <c r="M703" s="188"/>
      <c r="N703" s="765"/>
      <c r="O703" s="497"/>
      <c r="P703" s="497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>
      <c r="A704" s="743"/>
      <c r="B704" s="762"/>
      <c r="C704" s="762"/>
      <c r="D704" s="762"/>
      <c r="E704" s="762"/>
      <c r="F704" s="762"/>
      <c r="G704" s="188"/>
      <c r="H704" s="763" t="s">
        <v>46</v>
      </c>
      <c r="I704" s="764">
        <f ca="1">IFERROR(__xludf.DUMMYFUNCTION("IMPORTRANGE(""https://docs.google.com/spreadsheets/d/1QqKyyYR6Q21VydFLVH3TRQUabQu_ym0Zz7PgGX0-kHA/edit?usp=sharing"",""แผน!IF79"")"),0)</f>
        <v>0</v>
      </c>
      <c r="J704" s="214">
        <v>0</v>
      </c>
      <c r="K704" s="497"/>
      <c r="L704" s="497"/>
      <c r="M704" s="188"/>
      <c r="N704" s="765"/>
      <c r="O704" s="497"/>
      <c r="P704" s="497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>
      <c r="A705" s="743"/>
      <c r="B705" s="762"/>
      <c r="C705" s="762"/>
      <c r="D705" s="762"/>
      <c r="E705" s="762" t="s">
        <v>298</v>
      </c>
      <c r="F705" s="762"/>
      <c r="G705" s="188"/>
      <c r="H705" s="763" t="s">
        <v>35</v>
      </c>
      <c r="I705" s="764"/>
      <c r="J705" s="214">
        <v>0</v>
      </c>
      <c r="K705" s="497"/>
      <c r="L705" s="497"/>
      <c r="M705" s="188"/>
      <c r="N705" s="765"/>
      <c r="O705" s="497"/>
      <c r="P705" s="497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>
      <c r="A706" s="743"/>
      <c r="B706" s="762"/>
      <c r="C706" s="762"/>
      <c r="D706" s="762"/>
      <c r="E706" s="762"/>
      <c r="F706" s="762"/>
      <c r="G706" s="188"/>
      <c r="H706" s="763" t="s">
        <v>34</v>
      </c>
      <c r="I706" s="764"/>
      <c r="J706" s="214">
        <v>0</v>
      </c>
      <c r="K706" s="497"/>
      <c r="L706" s="497"/>
      <c r="M706" s="188"/>
      <c r="N706" s="765"/>
      <c r="O706" s="497"/>
      <c r="P706" s="497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>
      <c r="A707" s="743"/>
      <c r="B707" s="762"/>
      <c r="C707" s="762"/>
      <c r="D707" s="762"/>
      <c r="E707" s="762"/>
      <c r="F707" s="762"/>
      <c r="G707" s="188"/>
      <c r="H707" s="763" t="s">
        <v>46</v>
      </c>
      <c r="I707" s="764">
        <f ca="1">IFERROR(__xludf.DUMMYFUNCTION("IMPORTRANGE(""https://docs.google.com/spreadsheets/d/1QqKyyYR6Q21VydFLVH3TRQUabQu_ym0Zz7PgGX0-kHA/edit?usp=sharing"",""แผน!IG79"")"),0)</f>
        <v>0</v>
      </c>
      <c r="J707" s="214">
        <v>0</v>
      </c>
      <c r="K707" s="497"/>
      <c r="L707" s="497"/>
      <c r="M707" s="188"/>
      <c r="N707" s="765"/>
      <c r="O707" s="497"/>
      <c r="P707" s="497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>
      <c r="A708" s="743"/>
      <c r="B708" s="762"/>
      <c r="C708" s="762"/>
      <c r="D708" s="768" t="s">
        <v>299</v>
      </c>
      <c r="E708" s="762"/>
      <c r="F708" s="762"/>
      <c r="G708" s="188"/>
      <c r="H708" s="766" t="s">
        <v>46</v>
      </c>
      <c r="I708" s="767">
        <f ca="1">IFERROR(__xludf.DUMMYFUNCTION("IMPORTRANGE(""https://docs.google.com/spreadsheets/d/1QqKyyYR6Q21VydFLVH3TRQUabQu_ym0Zz7PgGX0-kHA/edit?usp=sharing"",""แผน!IH79"")"),0)</f>
        <v>0</v>
      </c>
      <c r="J708" s="680">
        <f>J714+J717</f>
        <v>0</v>
      </c>
      <c r="K708" s="194">
        <f ca="1">IF(I708&gt;0,J708*100/I708,0)</f>
        <v>0</v>
      </c>
      <c r="L708" s="497"/>
      <c r="M708" s="188"/>
      <c r="N708" s="765"/>
      <c r="O708" s="497"/>
      <c r="P708" s="497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>
      <c r="A709" s="743"/>
      <c r="B709" s="762"/>
      <c r="C709" s="762"/>
      <c r="D709" s="762"/>
      <c r="E709" s="762" t="s">
        <v>300</v>
      </c>
      <c r="F709" s="762"/>
      <c r="G709" s="188"/>
      <c r="H709" s="763" t="s">
        <v>34</v>
      </c>
      <c r="I709" s="764"/>
      <c r="J709" s="214">
        <v>0</v>
      </c>
      <c r="K709" s="497"/>
      <c r="L709" s="765"/>
      <c r="M709" s="188"/>
      <c r="N709" s="765"/>
      <c r="O709" s="497"/>
      <c r="P709" s="497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>
      <c r="A710" s="743"/>
      <c r="B710" s="762"/>
      <c r="C710" s="762"/>
      <c r="D710" s="762"/>
      <c r="E710" s="762"/>
      <c r="F710" s="762"/>
      <c r="G710" s="188"/>
      <c r="H710" s="763" t="s">
        <v>46</v>
      </c>
      <c r="I710" s="764"/>
      <c r="J710" s="214">
        <v>0</v>
      </c>
      <c r="K710" s="497"/>
      <c r="L710" s="765"/>
      <c r="M710" s="188"/>
      <c r="N710" s="765"/>
      <c r="O710" s="497"/>
      <c r="P710" s="497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>
      <c r="A711" s="743"/>
      <c r="B711" s="762"/>
      <c r="C711" s="762"/>
      <c r="D711" s="762"/>
      <c r="E711" s="762" t="s">
        <v>301</v>
      </c>
      <c r="F711" s="762"/>
      <c r="G711" s="188"/>
      <c r="H711" s="761"/>
      <c r="I711" s="764"/>
      <c r="J711" s="269"/>
      <c r="K711" s="497"/>
      <c r="L711" s="765"/>
      <c r="M711" s="188"/>
      <c r="N711" s="765"/>
      <c r="O711" s="497"/>
      <c r="P711" s="497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>
      <c r="A712" s="743"/>
      <c r="B712" s="762"/>
      <c r="C712" s="762"/>
      <c r="D712" s="762"/>
      <c r="E712" s="762"/>
      <c r="F712" s="762" t="s">
        <v>302</v>
      </c>
      <c r="G712" s="188"/>
      <c r="H712" s="763" t="s">
        <v>35</v>
      </c>
      <c r="I712" s="764"/>
      <c r="J712" s="214">
        <v>0</v>
      </c>
      <c r="K712" s="497"/>
      <c r="L712" s="765"/>
      <c r="M712" s="188"/>
      <c r="N712" s="765"/>
      <c r="O712" s="497"/>
      <c r="P712" s="497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>
      <c r="A713" s="743"/>
      <c r="B713" s="762"/>
      <c r="C713" s="762"/>
      <c r="D713" s="762"/>
      <c r="E713" s="762"/>
      <c r="F713" s="762"/>
      <c r="G713" s="188"/>
      <c r="H713" s="763" t="s">
        <v>34</v>
      </c>
      <c r="I713" s="764"/>
      <c r="J713" s="214">
        <v>0</v>
      </c>
      <c r="K713" s="497"/>
      <c r="L713" s="765"/>
      <c r="M713" s="188"/>
      <c r="N713" s="765"/>
      <c r="O713" s="497"/>
      <c r="P713" s="497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>
      <c r="A714" s="743"/>
      <c r="B714" s="762"/>
      <c r="C714" s="762"/>
      <c r="D714" s="762"/>
      <c r="E714" s="762"/>
      <c r="F714" s="762"/>
      <c r="G714" s="188"/>
      <c r="H714" s="763" t="s">
        <v>46</v>
      </c>
      <c r="I714" s="764"/>
      <c r="J714" s="214">
        <v>0</v>
      </c>
      <c r="K714" s="497"/>
      <c r="L714" s="765"/>
      <c r="M714" s="188"/>
      <c r="N714" s="765"/>
      <c r="O714" s="497"/>
      <c r="P714" s="497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>
      <c r="A715" s="743"/>
      <c r="B715" s="762"/>
      <c r="C715" s="762"/>
      <c r="D715" s="762"/>
      <c r="E715" s="762"/>
      <c r="F715" s="762" t="s">
        <v>303</v>
      </c>
      <c r="G715" s="188"/>
      <c r="H715" s="763" t="s">
        <v>35</v>
      </c>
      <c r="I715" s="764"/>
      <c r="J715" s="214">
        <v>0</v>
      </c>
      <c r="K715" s="497"/>
      <c r="L715" s="765"/>
      <c r="M715" s="188"/>
      <c r="N715" s="765"/>
      <c r="O715" s="497"/>
      <c r="P715" s="497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>
      <c r="A716" s="743"/>
      <c r="B716" s="762"/>
      <c r="C716" s="762"/>
      <c r="D716" s="762"/>
      <c r="E716" s="762"/>
      <c r="F716" s="762"/>
      <c r="G716" s="188"/>
      <c r="H716" s="763" t="s">
        <v>34</v>
      </c>
      <c r="I716" s="764"/>
      <c r="J716" s="214">
        <v>0</v>
      </c>
      <c r="K716" s="497"/>
      <c r="L716" s="765"/>
      <c r="M716" s="188"/>
      <c r="N716" s="765"/>
      <c r="O716" s="497"/>
      <c r="P716" s="497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>
      <c r="A717" s="743"/>
      <c r="B717" s="762"/>
      <c r="C717" s="762"/>
      <c r="D717" s="762"/>
      <c r="E717" s="762"/>
      <c r="F717" s="762"/>
      <c r="G717" s="188"/>
      <c r="H717" s="763" t="s">
        <v>46</v>
      </c>
      <c r="I717" s="764"/>
      <c r="J717" s="214">
        <v>0</v>
      </c>
      <c r="K717" s="497"/>
      <c r="L717" s="765"/>
      <c r="M717" s="188"/>
      <c r="N717" s="765"/>
      <c r="O717" s="497"/>
      <c r="P717" s="497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>
      <c r="A718" s="743"/>
      <c r="B718" s="762"/>
      <c r="C718" s="762"/>
      <c r="D718" s="762" t="s">
        <v>304</v>
      </c>
      <c r="E718" s="762"/>
      <c r="F718" s="762"/>
      <c r="G718" s="188"/>
      <c r="H718" s="763" t="s">
        <v>35</v>
      </c>
      <c r="I718" s="764"/>
      <c r="J718" s="269">
        <f ca="1">IFERROR(__xludf.DUMMYFUNCTION("IMPORTRANGE(""https://docs.google.com/spreadsheets/d/1XWAQStnk-4SwqDmLtmXYiTMKHgktTP8We1SCoS47DrQ/edit?usp=sharing"",""จัดที่ดิน!BF79"")"),0)</f>
        <v>0</v>
      </c>
      <c r="K718" s="497"/>
      <c r="L718" s="497"/>
      <c r="M718" s="188"/>
      <c r="N718" s="765"/>
      <c r="O718" s="497"/>
      <c r="P718" s="497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>
      <c r="A719" s="743"/>
      <c r="B719" s="762"/>
      <c r="C719" s="762"/>
      <c r="D719" s="762"/>
      <c r="E719" s="762"/>
      <c r="F719" s="762"/>
      <c r="G719" s="188"/>
      <c r="H719" s="763" t="s">
        <v>34</v>
      </c>
      <c r="I719" s="764"/>
      <c r="J719" s="269">
        <f ca="1">IFERROR(__xludf.DUMMYFUNCTION("IMPORTRANGE(""https://docs.google.com/spreadsheets/d/1XWAQStnk-4SwqDmLtmXYiTMKHgktTP8We1SCoS47DrQ/edit?usp=sharing"",""จัดที่ดิน!BG79"")"),0)</f>
        <v>0</v>
      </c>
      <c r="K719" s="497"/>
      <c r="L719" s="765"/>
      <c r="M719" s="188"/>
      <c r="N719" s="765"/>
      <c r="O719" s="497"/>
      <c r="P719" s="497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>
      <c r="A720" s="743"/>
      <c r="B720" s="762"/>
      <c r="C720" s="762"/>
      <c r="D720" s="762"/>
      <c r="E720" s="762"/>
      <c r="F720" s="762"/>
      <c r="G720" s="188"/>
      <c r="H720" s="763" t="s">
        <v>46</v>
      </c>
      <c r="I720" s="764">
        <f ca="1">IFERROR(__xludf.DUMMYFUNCTION("IMPORTRANGE(""https://docs.google.com/spreadsheets/d/1QqKyyYR6Q21VydFLVH3TRQUabQu_ym0Zz7PgGX0-kHA/edit?usp=sharing"",""แผน!II79"")"),0)</f>
        <v>0</v>
      </c>
      <c r="J720" s="269">
        <f ca="1">IFERROR(__xludf.DUMMYFUNCTION("IMPORTRANGE(""https://docs.google.com/spreadsheets/d/1XWAQStnk-4SwqDmLtmXYiTMKHgktTP8We1SCoS47DrQ/edit?usp=sharing"",""จัดที่ดิน!BH79"")"),0)</f>
        <v>0</v>
      </c>
      <c r="K720" s="497">
        <f ca="1">IF(I720&gt;0,J720*100/I720,0)</f>
        <v>0</v>
      </c>
      <c r="L720" s="765"/>
      <c r="M720" s="188"/>
      <c r="N720" s="765"/>
      <c r="O720" s="497"/>
      <c r="P720" s="497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>
      <c r="A721" s="743"/>
      <c r="B721" s="762"/>
      <c r="C721" s="762"/>
      <c r="D721" s="762" t="s">
        <v>305</v>
      </c>
      <c r="E721" s="762"/>
      <c r="F721" s="762"/>
      <c r="G721" s="188"/>
      <c r="H721" s="766" t="s">
        <v>35</v>
      </c>
      <c r="I721" s="767">
        <f ca="1">IFERROR(__xludf.DUMMYFUNCTION("IMPORTRANGE(""https://docs.google.com/spreadsheets/d/1QqKyyYR6Q21VydFLVH3TRQUabQu_ym0Zz7PgGX0-kHA/edit?usp=sharing"",""แผน!IJ79"")"),0)</f>
        <v>0</v>
      </c>
      <c r="J721" s="680">
        <f ca="1">J723+J726</f>
        <v>0</v>
      </c>
      <c r="K721" s="194">
        <f ca="1">IF(I721&gt;0,J721*100/I721,0)</f>
        <v>0</v>
      </c>
      <c r="L721" s="765"/>
      <c r="M721" s="188"/>
      <c r="N721" s="765"/>
      <c r="O721" s="497"/>
      <c r="P721" s="497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>
      <c r="A722" s="743"/>
      <c r="B722" s="762"/>
      <c r="C722" s="762"/>
      <c r="D722" s="762"/>
      <c r="E722" s="762"/>
      <c r="F722" s="762"/>
      <c r="G722" s="188"/>
      <c r="H722" s="766" t="s">
        <v>46</v>
      </c>
      <c r="I722" s="767">
        <f ca="1">IFERROR(__xludf.DUMMYFUNCTION("IMPORTRANGE(""https://docs.google.com/spreadsheets/d/1QqKyyYR6Q21VydFLVH3TRQUabQu_ym0Zz7PgGX0-kHA/edit?usp=sharing"",""แผน!IK79"")"),0)</f>
        <v>0</v>
      </c>
      <c r="J722" s="680">
        <f ca="1">J725+J728</f>
        <v>0</v>
      </c>
      <c r="K722" s="194">
        <f ca="1">IF(I722&gt;0,J722*100/I722,0)</f>
        <v>0</v>
      </c>
      <c r="L722" s="497"/>
      <c r="M722" s="188"/>
      <c r="N722" s="765"/>
      <c r="O722" s="497"/>
      <c r="P722" s="497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>
      <c r="A723" s="743"/>
      <c r="B723" s="762"/>
      <c r="C723" s="762"/>
      <c r="D723" s="762"/>
      <c r="E723" s="762" t="s">
        <v>306</v>
      </c>
      <c r="F723" s="762"/>
      <c r="G723" s="188"/>
      <c r="H723" s="763" t="s">
        <v>35</v>
      </c>
      <c r="I723" s="764">
        <f ca="1">IFERROR(__xludf.DUMMYFUNCTION("IMPORTRANGE(""https://docs.google.com/spreadsheets/d/1QqKyyYR6Q21VydFLVH3TRQUabQu_ym0Zz7PgGX0-kHA/edit?usp=sharing"",""แผน!IL79"")"),0)</f>
        <v>0</v>
      </c>
      <c r="J723" s="269">
        <f ca="1">IFERROR(__xludf.DUMMYFUNCTION("IMPORTRANGE(""https://docs.google.com/spreadsheets/d/1XWAQStnk-4SwqDmLtmXYiTMKHgktTP8We1SCoS47DrQ/edit?usp=sharing"",""จัดที่ดิน!BM79"")"),0)</f>
        <v>0</v>
      </c>
      <c r="K723" s="497">
        <f ca="1">IF(I723&gt;0,J723*100/I723,0)</f>
        <v>0</v>
      </c>
      <c r="L723" s="497"/>
      <c r="M723" s="188"/>
      <c r="N723" s="765"/>
      <c r="O723" s="497"/>
      <c r="P723" s="497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>
      <c r="A724" s="743"/>
      <c r="B724" s="762"/>
      <c r="C724" s="762"/>
      <c r="D724" s="762"/>
      <c r="E724" s="762"/>
      <c r="F724" s="762"/>
      <c r="G724" s="188"/>
      <c r="H724" s="763" t="s">
        <v>34</v>
      </c>
      <c r="I724" s="764"/>
      <c r="J724" s="269">
        <f ca="1">IFERROR(__xludf.DUMMYFUNCTION("IMPORTRANGE(""https://docs.google.com/spreadsheets/d/1XWAQStnk-4SwqDmLtmXYiTMKHgktTP8We1SCoS47DrQ/edit?usp=sharing"",""จัดที่ดิน!BN79"")"),0)</f>
        <v>0</v>
      </c>
      <c r="K724" s="497"/>
      <c r="L724" s="765"/>
      <c r="M724" s="188"/>
      <c r="N724" s="765"/>
      <c r="O724" s="497"/>
      <c r="P724" s="497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>
      <c r="A725" s="743"/>
      <c r="B725" s="762"/>
      <c r="C725" s="762"/>
      <c r="D725" s="762"/>
      <c r="E725" s="762"/>
      <c r="F725" s="762"/>
      <c r="G725" s="188"/>
      <c r="H725" s="763" t="s">
        <v>46</v>
      </c>
      <c r="I725" s="764">
        <f ca="1">IFERROR(__xludf.DUMMYFUNCTION("IMPORTRANGE(""https://docs.google.com/spreadsheets/d/1QqKyyYR6Q21VydFLVH3TRQUabQu_ym0Zz7PgGX0-kHA/edit?usp=sharing"",""แผน!IM79"")"),0)</f>
        <v>0</v>
      </c>
      <c r="J725" s="269">
        <f ca="1">IFERROR(__xludf.DUMMYFUNCTION("IMPORTRANGE(""https://docs.google.com/spreadsheets/d/1XWAQStnk-4SwqDmLtmXYiTMKHgktTP8We1SCoS47DrQ/edit?usp=sharing"",""จัดที่ดิน!BO79"")"),0)</f>
        <v>0</v>
      </c>
      <c r="K725" s="497">
        <f ca="1">IF(I725&gt;0,J725*100/I725,0)</f>
        <v>0</v>
      </c>
      <c r="L725" s="765"/>
      <c r="M725" s="188"/>
      <c r="N725" s="765"/>
      <c r="O725" s="497"/>
      <c r="P725" s="497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>
      <c r="A726" s="743"/>
      <c r="B726" s="762"/>
      <c r="C726" s="762"/>
      <c r="D726" s="762"/>
      <c r="E726" s="762" t="s">
        <v>307</v>
      </c>
      <c r="F726" s="762"/>
      <c r="G726" s="188"/>
      <c r="H726" s="763" t="s">
        <v>35</v>
      </c>
      <c r="I726" s="764">
        <f ca="1">IFERROR(__xludf.DUMMYFUNCTION("IMPORTRANGE(""https://docs.google.com/spreadsheets/d/1QqKyyYR6Q21VydFLVH3TRQUabQu_ym0Zz7PgGX0-kHA/edit?usp=sharing"",""แผน!IN79"")"),0)</f>
        <v>0</v>
      </c>
      <c r="J726" s="269">
        <f ca="1">IFERROR(__xludf.DUMMYFUNCTION("IMPORTRANGE(""https://docs.google.com/spreadsheets/d/1XWAQStnk-4SwqDmLtmXYiTMKHgktTP8We1SCoS47DrQ/edit?usp=sharing"",""จัดที่ดิน!BR79"")"),0)</f>
        <v>0</v>
      </c>
      <c r="K726" s="497">
        <f ca="1">IF(I726&gt;0,J726*100/I726,0)</f>
        <v>0</v>
      </c>
      <c r="L726" s="497"/>
      <c r="M726" s="188"/>
      <c r="N726" s="765"/>
      <c r="O726" s="497"/>
      <c r="P726" s="497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>
      <c r="A727" s="743"/>
      <c r="B727" s="762"/>
      <c r="C727" s="762"/>
      <c r="D727" s="762"/>
      <c r="E727" s="762"/>
      <c r="F727" s="762"/>
      <c r="G727" s="188"/>
      <c r="H727" s="763" t="s">
        <v>34</v>
      </c>
      <c r="I727" s="764"/>
      <c r="J727" s="269">
        <f ca="1">IFERROR(__xludf.DUMMYFUNCTION("IMPORTRANGE(""https://docs.google.com/spreadsheets/d/1XWAQStnk-4SwqDmLtmXYiTMKHgktTP8We1SCoS47DrQ/edit?usp=sharing"",""จัดที่ดิน!BS79"")"),0)</f>
        <v>0</v>
      </c>
      <c r="K727" s="497"/>
      <c r="L727" s="765"/>
      <c r="M727" s="188"/>
      <c r="N727" s="765"/>
      <c r="O727" s="497"/>
      <c r="P727" s="497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>
      <c r="A728" s="743"/>
      <c r="B728" s="762"/>
      <c r="C728" s="762"/>
      <c r="D728" s="762"/>
      <c r="E728" s="762"/>
      <c r="F728" s="762"/>
      <c r="G728" s="188"/>
      <c r="H728" s="763" t="s">
        <v>46</v>
      </c>
      <c r="I728" s="764">
        <f ca="1">IFERROR(__xludf.DUMMYFUNCTION("IMPORTRANGE(""https://docs.google.com/spreadsheets/d/1QqKyyYR6Q21VydFLVH3TRQUabQu_ym0Zz7PgGX0-kHA/edit?usp=sharing"",""แผน!IO79"")"),0)</f>
        <v>0</v>
      </c>
      <c r="J728" s="269">
        <f ca="1">IFERROR(__xludf.DUMMYFUNCTION("IMPORTRANGE(""https://docs.google.com/spreadsheets/d/1XWAQStnk-4SwqDmLtmXYiTMKHgktTP8We1SCoS47DrQ/edit?usp=sharing"",""จัดที่ดิน!BT79"")"),0)</f>
        <v>0</v>
      </c>
      <c r="K728" s="497">
        <f ca="1">IF(I728&gt;0,J728*100/I728,0)</f>
        <v>0</v>
      </c>
      <c r="L728" s="765"/>
      <c r="M728" s="188"/>
      <c r="N728" s="765"/>
      <c r="O728" s="497"/>
      <c r="P728" s="497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>
      <c r="A729" s="743"/>
      <c r="B729" s="762"/>
      <c r="C729" s="762"/>
      <c r="D729" s="762" t="s">
        <v>308</v>
      </c>
      <c r="E729" s="762"/>
      <c r="F729" s="762"/>
      <c r="G729" s="188"/>
      <c r="H729" s="766" t="s">
        <v>46</v>
      </c>
      <c r="I729" s="767">
        <f ca="1">IFERROR(__xludf.DUMMYFUNCTION("IMPORTRANGE(""https://docs.google.com/spreadsheets/d/1QqKyyYR6Q21VydFLVH3TRQUabQu_ym0Zz7PgGX0-kHA/edit?usp=sharing"",""แผน!IP79"")"),0)</f>
        <v>0</v>
      </c>
      <c r="J729" s="680">
        <f>J732+J735</f>
        <v>0</v>
      </c>
      <c r="K729" s="194">
        <f ca="1">IF(I729&gt;0,J729*100/I729,0)</f>
        <v>0</v>
      </c>
      <c r="L729" s="497"/>
      <c r="M729" s="188"/>
      <c r="N729" s="765"/>
      <c r="O729" s="497"/>
      <c r="P729" s="497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>
      <c r="A730" s="743"/>
      <c r="B730" s="762"/>
      <c r="C730" s="762"/>
      <c r="D730" s="762"/>
      <c r="E730" s="762" t="s">
        <v>309</v>
      </c>
      <c r="F730" s="762"/>
      <c r="G730" s="188"/>
      <c r="H730" s="763" t="s">
        <v>35</v>
      </c>
      <c r="I730" s="764"/>
      <c r="J730" s="214">
        <v>0</v>
      </c>
      <c r="K730" s="497"/>
      <c r="L730" s="765"/>
      <c r="M730" s="497"/>
      <c r="N730" s="765"/>
      <c r="O730" s="497"/>
      <c r="P730" s="497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>
      <c r="A731" s="743"/>
      <c r="B731" s="762"/>
      <c r="C731" s="762"/>
      <c r="D731" s="762"/>
      <c r="E731" s="762"/>
      <c r="F731" s="762"/>
      <c r="G731" s="188"/>
      <c r="H731" s="763" t="s">
        <v>34</v>
      </c>
      <c r="I731" s="764"/>
      <c r="J731" s="214">
        <v>0</v>
      </c>
      <c r="K731" s="497"/>
      <c r="L731" s="765"/>
      <c r="M731" s="497"/>
      <c r="N731" s="765"/>
      <c r="O731" s="497"/>
      <c r="P731" s="497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>
      <c r="A732" s="743"/>
      <c r="B732" s="762"/>
      <c r="C732" s="762"/>
      <c r="D732" s="762"/>
      <c r="E732" s="762"/>
      <c r="F732" s="762"/>
      <c r="G732" s="188"/>
      <c r="H732" s="763" t="s">
        <v>46</v>
      </c>
      <c r="I732" s="764"/>
      <c r="J732" s="214">
        <v>0</v>
      </c>
      <c r="K732" s="497"/>
      <c r="L732" s="765"/>
      <c r="M732" s="497"/>
      <c r="N732" s="765"/>
      <c r="O732" s="497"/>
      <c r="P732" s="497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>
      <c r="A733" s="743"/>
      <c r="B733" s="762"/>
      <c r="C733" s="762"/>
      <c r="D733" s="762"/>
      <c r="E733" s="762" t="s">
        <v>310</v>
      </c>
      <c r="F733" s="762"/>
      <c r="G733" s="188"/>
      <c r="H733" s="763" t="s">
        <v>35</v>
      </c>
      <c r="I733" s="764"/>
      <c r="J733" s="214">
        <v>0</v>
      </c>
      <c r="K733" s="497"/>
      <c r="L733" s="765"/>
      <c r="M733" s="497"/>
      <c r="N733" s="765"/>
      <c r="O733" s="497"/>
      <c r="P733" s="497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>
      <c r="A734" s="743"/>
      <c r="B734" s="762"/>
      <c r="C734" s="762"/>
      <c r="D734" s="762"/>
      <c r="E734" s="762"/>
      <c r="F734" s="762"/>
      <c r="G734" s="188"/>
      <c r="H734" s="763" t="s">
        <v>34</v>
      </c>
      <c r="I734" s="764"/>
      <c r="J734" s="214">
        <v>0</v>
      </c>
      <c r="K734" s="497"/>
      <c r="L734" s="765"/>
      <c r="M734" s="497"/>
      <c r="N734" s="765"/>
      <c r="O734" s="497"/>
      <c r="P734" s="497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>
      <c r="A735" s="769"/>
      <c r="B735" s="770" t="s">
        <v>311</v>
      </c>
      <c r="C735" s="733"/>
      <c r="D735" s="733"/>
      <c r="E735" s="733"/>
      <c r="F735" s="733"/>
      <c r="G735" s="734"/>
      <c r="H735" s="422" t="s">
        <v>46</v>
      </c>
      <c r="I735" s="771"/>
      <c r="J735" s="424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312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92" t="s">
        <v>17</v>
      </c>
      <c r="E737" s="888"/>
      <c r="F737" s="888"/>
      <c r="G737" s="602"/>
      <c r="H737" s="645" t="s">
        <v>12</v>
      </c>
      <c r="I737" s="616"/>
      <c r="J737" s="616"/>
      <c r="K737" s="92"/>
      <c r="L737" s="646">
        <f>L738+L739</f>
        <v>0</v>
      </c>
      <c r="M737" s="646">
        <f>M738+M739</f>
        <v>0</v>
      </c>
      <c r="N737" s="646">
        <f>N738+N739</f>
        <v>0</v>
      </c>
      <c r="O737" s="646">
        <f t="shared" ref="O737:O742" si="98">IF(L737&gt;0,N737*100/L737,0)</f>
        <v>0</v>
      </c>
      <c r="P737" s="646">
        <f t="shared" ref="P737:P742" si="99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184</v>
      </c>
      <c r="F738" s="758"/>
      <c r="G738" s="602"/>
      <c r="H738" s="164" t="s">
        <v>12</v>
      </c>
      <c r="I738" s="616"/>
      <c r="J738" s="616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185</v>
      </c>
      <c r="F739" s="758"/>
      <c r="G739" s="602"/>
      <c r="H739" s="164" t="s">
        <v>12</v>
      </c>
      <c r="I739" s="616"/>
      <c r="J739" s="616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5"/>
      <c r="J740" s="165"/>
      <c r="K740" s="166"/>
      <c r="L740" s="646">
        <f>L741+L742</f>
        <v>0</v>
      </c>
      <c r="M740" s="646">
        <f>M741+M742</f>
        <v>0</v>
      </c>
      <c r="N740" s="646">
        <f>N741+N742</f>
        <v>0</v>
      </c>
      <c r="O740" s="646">
        <f t="shared" si="98"/>
        <v>0</v>
      </c>
      <c r="P740" s="646">
        <f t="shared" si="99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184</v>
      </c>
      <c r="F741" s="758"/>
      <c r="G741" s="602"/>
      <c r="H741" s="164" t="s">
        <v>12</v>
      </c>
      <c r="I741" s="616"/>
      <c r="J741" s="616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185</v>
      </c>
      <c r="F742" s="758"/>
      <c r="G742" s="602"/>
      <c r="H742" s="164" t="s">
        <v>12</v>
      </c>
      <c r="I742" s="616"/>
      <c r="J742" s="616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186</v>
      </c>
      <c r="G743" s="602"/>
      <c r="H743" s="164" t="s">
        <v>12</v>
      </c>
      <c r="I743" s="616"/>
      <c r="J743" s="616"/>
      <c r="K743" s="92"/>
      <c r="L743" s="92"/>
      <c r="M743" s="92"/>
      <c r="N743" s="92"/>
      <c r="O743" s="92"/>
      <c r="P743" s="92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187</v>
      </c>
      <c r="G744" s="602"/>
      <c r="H744" s="164" t="s">
        <v>12</v>
      </c>
      <c r="I744" s="616"/>
      <c r="J744" s="616"/>
      <c r="K744" s="92"/>
      <c r="L744" s="92"/>
      <c r="M744" s="92"/>
      <c r="N744" s="92"/>
      <c r="O744" s="92"/>
      <c r="P744" s="92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188</v>
      </c>
      <c r="G745" s="602"/>
      <c r="H745" s="164" t="s">
        <v>12</v>
      </c>
      <c r="I745" s="616"/>
      <c r="J745" s="616"/>
      <c r="K745" s="92"/>
      <c r="L745" s="92"/>
      <c r="M745" s="92"/>
      <c r="N745" s="92"/>
      <c r="O745" s="92"/>
      <c r="P745" s="92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189</v>
      </c>
      <c r="G746" s="602"/>
      <c r="H746" s="164" t="s">
        <v>12</v>
      </c>
      <c r="I746" s="616"/>
      <c r="J746" s="616"/>
      <c r="K746" s="92"/>
      <c r="L746" s="92"/>
      <c r="M746" s="92"/>
      <c r="N746" s="92"/>
      <c r="O746" s="92"/>
      <c r="P746" s="92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5"/>
      <c r="J747" s="165"/>
      <c r="K747" s="166"/>
      <c r="L747" s="646">
        <f>L748+L749</f>
        <v>0</v>
      </c>
      <c r="M747" s="646">
        <f>M748+M749</f>
        <v>0</v>
      </c>
      <c r="N747" s="646">
        <f>N748+N749</f>
        <v>0</v>
      </c>
      <c r="O747" s="646">
        <f>IF(L747&gt;0,N747*100/L747,0)</f>
        <v>0</v>
      </c>
      <c r="P747" s="646">
        <f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39" t="s">
        <v>38</v>
      </c>
      <c r="E750" s="650"/>
      <c r="F750" s="650"/>
      <c r="G750" s="651"/>
      <c r="H750" s="365"/>
      <c r="I750" s="165"/>
      <c r="J750" s="165"/>
      <c r="K750" s="166"/>
      <c r="L750" s="166"/>
      <c r="M750" s="166"/>
      <c r="N750" s="166"/>
      <c r="O750" s="166"/>
      <c r="P750" s="166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313</v>
      </c>
      <c r="F751" s="758"/>
      <c r="G751" s="602"/>
      <c r="H751" s="164" t="s">
        <v>46</v>
      </c>
      <c r="I751" s="616"/>
      <c r="J751" s="616"/>
      <c r="K751" s="92"/>
      <c r="L751" s="92"/>
      <c r="M751" s="92"/>
      <c r="N751" s="92"/>
      <c r="O751" s="92"/>
      <c r="P751" s="92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4" t="s">
        <v>314</v>
      </c>
      <c r="I752" s="616"/>
      <c r="J752" s="616"/>
      <c r="K752" s="92"/>
      <c r="L752" s="92"/>
      <c r="M752" s="92"/>
      <c r="N752" s="92"/>
      <c r="O752" s="92"/>
      <c r="P752" s="92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315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92" t="s">
        <v>17</v>
      </c>
      <c r="E754" s="888"/>
      <c r="F754" s="888"/>
      <c r="G754" s="602"/>
      <c r="H754" s="645" t="s">
        <v>12</v>
      </c>
      <c r="I754" s="616"/>
      <c r="J754" s="616"/>
      <c r="K754" s="92"/>
      <c r="L754" s="646">
        <f>L755+L756</f>
        <v>0</v>
      </c>
      <c r="M754" s="646">
        <f>M755+M756</f>
        <v>0</v>
      </c>
      <c r="N754" s="646">
        <f>N755+N756</f>
        <v>0</v>
      </c>
      <c r="O754" s="646">
        <f t="shared" ref="O754:O759" si="101">IF(L754&gt;0,N754*100/L754,0)</f>
        <v>0</v>
      </c>
      <c r="P754" s="646">
        <f t="shared" ref="P754:P759" si="102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184</v>
      </c>
      <c r="F755" s="758"/>
      <c r="G755" s="602"/>
      <c r="H755" s="164" t="s">
        <v>12</v>
      </c>
      <c r="I755" s="616"/>
      <c r="J755" s="616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185</v>
      </c>
      <c r="F756" s="758"/>
      <c r="G756" s="602"/>
      <c r="H756" s="164" t="s">
        <v>12</v>
      </c>
      <c r="I756" s="616"/>
      <c r="J756" s="616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5"/>
      <c r="J757" s="165"/>
      <c r="K757" s="166"/>
      <c r="L757" s="646">
        <f>L758+L759</f>
        <v>0</v>
      </c>
      <c r="M757" s="646">
        <f>M758+M759</f>
        <v>0</v>
      </c>
      <c r="N757" s="646">
        <f>N758+N759</f>
        <v>0</v>
      </c>
      <c r="O757" s="646">
        <f t="shared" si="101"/>
        <v>0</v>
      </c>
      <c r="P757" s="646">
        <f t="shared" si="102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184</v>
      </c>
      <c r="F758" s="758"/>
      <c r="G758" s="602"/>
      <c r="H758" s="164" t="s">
        <v>12</v>
      </c>
      <c r="I758" s="616"/>
      <c r="J758" s="616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185</v>
      </c>
      <c r="F759" s="758"/>
      <c r="G759" s="602"/>
      <c r="H759" s="164" t="s">
        <v>12</v>
      </c>
      <c r="I759" s="616"/>
      <c r="J759" s="616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186</v>
      </c>
      <c r="G760" s="602"/>
      <c r="H760" s="164" t="s">
        <v>12</v>
      </c>
      <c r="I760" s="616"/>
      <c r="J760" s="616"/>
      <c r="K760" s="92"/>
      <c r="L760" s="92"/>
      <c r="M760" s="92"/>
      <c r="N760" s="92"/>
      <c r="O760" s="92"/>
      <c r="P760" s="92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187</v>
      </c>
      <c r="G761" s="602"/>
      <c r="H761" s="164" t="s">
        <v>12</v>
      </c>
      <c r="I761" s="616"/>
      <c r="J761" s="616"/>
      <c r="K761" s="92"/>
      <c r="L761" s="92"/>
      <c r="M761" s="92"/>
      <c r="N761" s="92"/>
      <c r="O761" s="92"/>
      <c r="P761" s="92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188</v>
      </c>
      <c r="G762" s="602"/>
      <c r="H762" s="164" t="s">
        <v>12</v>
      </c>
      <c r="I762" s="616"/>
      <c r="J762" s="616"/>
      <c r="K762" s="92"/>
      <c r="L762" s="92"/>
      <c r="M762" s="92"/>
      <c r="N762" s="92"/>
      <c r="O762" s="92"/>
      <c r="P762" s="92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189</v>
      </c>
      <c r="G763" s="602"/>
      <c r="H763" s="164" t="s">
        <v>12</v>
      </c>
      <c r="I763" s="616"/>
      <c r="J763" s="616"/>
      <c r="K763" s="92"/>
      <c r="L763" s="92"/>
      <c r="M763" s="92"/>
      <c r="N763" s="92"/>
      <c r="O763" s="92"/>
      <c r="P763" s="92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5"/>
      <c r="J764" s="165"/>
      <c r="K764" s="166"/>
      <c r="L764" s="646">
        <f>L765+L766</f>
        <v>0</v>
      </c>
      <c r="M764" s="646">
        <f>M765+M766</f>
        <v>0</v>
      </c>
      <c r="N764" s="646">
        <f>N765+N766</f>
        <v>0</v>
      </c>
      <c r="O764" s="646">
        <f>IF(L764&gt;0,N764*100/L764,0)</f>
        <v>0</v>
      </c>
      <c r="P764" s="646">
        <f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39" t="s">
        <v>38</v>
      </c>
      <c r="E767" s="650"/>
      <c r="F767" s="650"/>
      <c r="G767" s="651"/>
      <c r="H767" s="365"/>
      <c r="I767" s="165"/>
      <c r="J767" s="165"/>
      <c r="K767" s="166"/>
      <c r="L767" s="166"/>
      <c r="M767" s="166"/>
      <c r="N767" s="166"/>
      <c r="O767" s="166"/>
      <c r="P767" s="166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316</v>
      </c>
      <c r="F768" s="758"/>
      <c r="G768" s="602"/>
      <c r="H768" s="164" t="s">
        <v>46</v>
      </c>
      <c r="I768" s="616"/>
      <c r="J768" s="616"/>
      <c r="K768" s="92"/>
      <c r="L768" s="92"/>
      <c r="M768" s="92"/>
      <c r="N768" s="92"/>
      <c r="O768" s="92"/>
      <c r="P768" s="92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317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92" t="s">
        <v>17</v>
      </c>
      <c r="E770" s="888"/>
      <c r="F770" s="888"/>
      <c r="G770" s="602"/>
      <c r="H770" s="645" t="s">
        <v>12</v>
      </c>
      <c r="I770" s="616"/>
      <c r="J770" s="616"/>
      <c r="K770" s="92"/>
      <c r="L770" s="646">
        <f>L771+L772</f>
        <v>0</v>
      </c>
      <c r="M770" s="646">
        <f>M771+M772</f>
        <v>0</v>
      </c>
      <c r="N770" s="646">
        <f>N771+N772</f>
        <v>0</v>
      </c>
      <c r="O770" s="646">
        <f t="shared" ref="O770:O775" si="104">IF(L770&gt;0,N770*100/L770,0)</f>
        <v>0</v>
      </c>
      <c r="P770" s="646">
        <f t="shared" ref="P770:P775" si="105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184</v>
      </c>
      <c r="F771" s="758"/>
      <c r="G771" s="602"/>
      <c r="H771" s="164" t="s">
        <v>12</v>
      </c>
      <c r="I771" s="616"/>
      <c r="J771" s="616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185</v>
      </c>
      <c r="F772" s="758"/>
      <c r="G772" s="602"/>
      <c r="H772" s="164" t="s">
        <v>12</v>
      </c>
      <c r="I772" s="616"/>
      <c r="J772" s="616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5"/>
      <c r="J773" s="165"/>
      <c r="K773" s="166"/>
      <c r="L773" s="646">
        <f>L774+L775</f>
        <v>0</v>
      </c>
      <c r="M773" s="646">
        <f>M774+M775</f>
        <v>0</v>
      </c>
      <c r="N773" s="646">
        <f>N774+N775</f>
        <v>0</v>
      </c>
      <c r="O773" s="646">
        <f t="shared" si="104"/>
        <v>0</v>
      </c>
      <c r="P773" s="646">
        <f t="shared" si="105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184</v>
      </c>
      <c r="F774" s="758"/>
      <c r="G774" s="602"/>
      <c r="H774" s="164" t="s">
        <v>12</v>
      </c>
      <c r="I774" s="616"/>
      <c r="J774" s="616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185</v>
      </c>
      <c r="F775" s="758"/>
      <c r="G775" s="602"/>
      <c r="H775" s="164" t="s">
        <v>12</v>
      </c>
      <c r="I775" s="616"/>
      <c r="J775" s="616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186</v>
      </c>
      <c r="G776" s="602"/>
      <c r="H776" s="164" t="s">
        <v>12</v>
      </c>
      <c r="I776" s="616"/>
      <c r="J776" s="616"/>
      <c r="K776" s="92"/>
      <c r="L776" s="92"/>
      <c r="M776" s="92"/>
      <c r="N776" s="92"/>
      <c r="O776" s="92"/>
      <c r="P776" s="92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187</v>
      </c>
      <c r="G777" s="602"/>
      <c r="H777" s="164" t="s">
        <v>12</v>
      </c>
      <c r="I777" s="616"/>
      <c r="J777" s="616"/>
      <c r="K777" s="92"/>
      <c r="L777" s="92"/>
      <c r="M777" s="92"/>
      <c r="N777" s="92"/>
      <c r="O777" s="92"/>
      <c r="P777" s="92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188</v>
      </c>
      <c r="G778" s="602"/>
      <c r="H778" s="164" t="s">
        <v>12</v>
      </c>
      <c r="I778" s="616"/>
      <c r="J778" s="616"/>
      <c r="K778" s="92"/>
      <c r="L778" s="92"/>
      <c r="M778" s="92"/>
      <c r="N778" s="92"/>
      <c r="O778" s="92"/>
      <c r="P778" s="92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189</v>
      </c>
      <c r="G779" s="602"/>
      <c r="H779" s="164" t="s">
        <v>12</v>
      </c>
      <c r="I779" s="616"/>
      <c r="J779" s="616"/>
      <c r="K779" s="92"/>
      <c r="L779" s="92"/>
      <c r="M779" s="92"/>
      <c r="N779" s="92"/>
      <c r="O779" s="92"/>
      <c r="P779" s="92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5"/>
      <c r="J780" s="165"/>
      <c r="K780" s="166"/>
      <c r="L780" s="646">
        <f>L781+L782</f>
        <v>0</v>
      </c>
      <c r="M780" s="646">
        <f>M781+M782</f>
        <v>0</v>
      </c>
      <c r="N780" s="646">
        <f>N781+N782</f>
        <v>0</v>
      </c>
      <c r="O780" s="646">
        <f>IF(L780&gt;0,N780*100/L780,0)</f>
        <v>0</v>
      </c>
      <c r="P780" s="646">
        <f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39" t="s">
        <v>38</v>
      </c>
      <c r="E783" s="650"/>
      <c r="F783" s="650"/>
      <c r="G783" s="651"/>
      <c r="H783" s="800"/>
      <c r="I783" s="165"/>
      <c r="J783" s="165"/>
      <c r="K783" s="166"/>
      <c r="L783" s="166"/>
      <c r="M783" s="166"/>
      <c r="N783" s="166"/>
      <c r="O783" s="166"/>
      <c r="P783" s="166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318</v>
      </c>
      <c r="F784" s="758"/>
      <c r="G784" s="602"/>
      <c r="H784" s="164" t="s">
        <v>46</v>
      </c>
      <c r="I784" s="616"/>
      <c r="J784" s="616"/>
      <c r="K784" s="92"/>
      <c r="L784" s="92"/>
      <c r="M784" s="92"/>
      <c r="N784" s="92"/>
      <c r="O784" s="92"/>
      <c r="P784" s="92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319</v>
      </c>
      <c r="C785" s="803"/>
      <c r="D785" s="803"/>
      <c r="E785" s="803"/>
      <c r="F785" s="803"/>
      <c r="G785" s="804"/>
      <c r="H785" s="805" t="s">
        <v>46</v>
      </c>
      <c r="I785" s="806">
        <f ca="1">I800</f>
        <v>0</v>
      </c>
      <c r="J785" s="807">
        <f ca="1">J800</f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87" t="s">
        <v>17</v>
      </c>
      <c r="E786" s="888"/>
      <c r="F786" s="888"/>
      <c r="G786" s="188"/>
      <c r="H786" s="597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184</v>
      </c>
      <c r="F787" s="758"/>
      <c r="G787" s="602"/>
      <c r="H787" s="164" t="s">
        <v>12</v>
      </c>
      <c r="I787" s="616"/>
      <c r="J787" s="616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185</v>
      </c>
      <c r="F788" s="758"/>
      <c r="G788" s="602"/>
      <c r="H788" s="164" t="s">
        <v>12</v>
      </c>
      <c r="I788" s="616"/>
      <c r="J788" s="616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184</v>
      </c>
      <c r="F790" s="758"/>
      <c r="G790" s="602"/>
      <c r="H790" s="164" t="s">
        <v>12</v>
      </c>
      <c r="I790" s="616"/>
      <c r="J790" s="616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185</v>
      </c>
      <c r="F791" s="758"/>
      <c r="G791" s="602"/>
      <c r="H791" s="164" t="s">
        <v>12</v>
      </c>
      <c r="I791" s="616"/>
      <c r="J791" s="616"/>
      <c r="K791" s="92"/>
      <c r="L791" s="92">
        <f ca="1">IFERROR(__xludf.DUMMYFUNCTION("IMPORTRANGE(""https://docs.google.com/spreadsheets/d/1QqKyyYR6Q21VydFLVH3TRQUabQu_ym0Zz7PgGX0-kHA/edit?usp=sharing"",""แผน!JJ79"")"),0)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826">
        <v>0</v>
      </c>
      <c r="O792" s="497"/>
      <c r="P792" s="497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826">
        <v>0</v>
      </c>
      <c r="O793" s="497"/>
      <c r="P793" s="497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826">
        <v>0</v>
      </c>
      <c r="O794" s="497"/>
      <c r="P794" s="497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826">
        <v>0</v>
      </c>
      <c r="O795" s="497"/>
      <c r="P795" s="497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38" t="s">
        <v>38</v>
      </c>
      <c r="E799" s="760"/>
      <c r="F799" s="760"/>
      <c r="G799" s="612"/>
      <c r="H799" s="810"/>
      <c r="I799" s="183"/>
      <c r="J799" s="183"/>
      <c r="K799" s="162"/>
      <c r="L799" s="162"/>
      <c r="M799" s="162"/>
      <c r="N799" s="162"/>
      <c r="O799" s="162"/>
      <c r="P799" s="162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320</v>
      </c>
      <c r="G800" s="761"/>
      <c r="H800" s="184" t="s">
        <v>46</v>
      </c>
      <c r="I800" s="183">
        <f ca="1">IFERROR(__xludf.DUMMYFUNCTION("IMPORTRANGE(""https://docs.google.com/spreadsheets/d/1QqKyyYR6Q21VydFLVH3TRQUabQu_ym0Zz7PgGX0-kHA/edit?usp=sharing"",""แผน!JN79"")"),0)</f>
        <v>0</v>
      </c>
      <c r="J800" s="183">
        <f ca="1">IFERROR(__xludf.DUMMYFUNCTION("IMPORTRANGE(""https://docs.google.com/spreadsheets/d/1MaWodYyGHDf7siQLGxnXhG4mBNTNIuy296niS2xXulU/edit?usp=sharing"",""RTK!H79"")"),0)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IFERROR(__xludf.DUMMYFUNCTION("IMPORTRANGE(""https://docs.google.com/spreadsheets/d/1MaWodYyGHDf7siQLGxnXhG4mBNTNIuy296niS2xXulU/edit?usp=sharing"",""RTK!I79"")"),0)</f>
        <v>0</v>
      </c>
      <c r="K801" s="497"/>
      <c r="L801" s="497"/>
      <c r="M801" s="497"/>
      <c r="N801" s="497"/>
      <c r="O801" s="162"/>
      <c r="P801" s="162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321</v>
      </c>
      <c r="G802" s="365"/>
      <c r="H802" s="652" t="s">
        <v>46</v>
      </c>
      <c r="I802" s="165"/>
      <c r="J802" s="616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5"/>
      <c r="H803" s="652" t="s">
        <v>34</v>
      </c>
      <c r="I803" s="165"/>
      <c r="J803" s="616">
        <v>0</v>
      </c>
      <c r="K803" s="166"/>
      <c r="L803" s="166"/>
      <c r="M803" s="166"/>
      <c r="N803" s="166"/>
      <c r="O803" s="166"/>
      <c r="P803" s="166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322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92" t="s">
        <v>17</v>
      </c>
      <c r="E805" s="888"/>
      <c r="F805" s="888"/>
      <c r="G805" s="602"/>
      <c r="H805" s="645" t="s">
        <v>12</v>
      </c>
      <c r="I805" s="616"/>
      <c r="J805" s="616"/>
      <c r="K805" s="92"/>
      <c r="L805" s="646">
        <f>L806+L807</f>
        <v>0</v>
      </c>
      <c r="M805" s="646">
        <f>M806+M807</f>
        <v>0</v>
      </c>
      <c r="N805" s="646">
        <f>N806+N807</f>
        <v>0</v>
      </c>
      <c r="O805" s="646">
        <f t="shared" ref="O805:O810" si="110">IF(L805&gt;0,N805*100/L805,0)</f>
        <v>0</v>
      </c>
      <c r="P805" s="646">
        <f t="shared" ref="P805:P810" si="111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184</v>
      </c>
      <c r="F806" s="758"/>
      <c r="G806" s="602"/>
      <c r="H806" s="164" t="s">
        <v>12</v>
      </c>
      <c r="I806" s="616"/>
      <c r="J806" s="616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185</v>
      </c>
      <c r="F807" s="758"/>
      <c r="G807" s="602"/>
      <c r="H807" s="164" t="s">
        <v>12</v>
      </c>
      <c r="I807" s="616"/>
      <c r="J807" s="616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912" t="s">
        <v>20</v>
      </c>
      <c r="E808" s="888"/>
      <c r="F808" s="888"/>
      <c r="G808" s="602"/>
      <c r="H808" s="645" t="s">
        <v>12</v>
      </c>
      <c r="I808" s="165"/>
      <c r="J808" s="165"/>
      <c r="K808" s="166"/>
      <c r="L808" s="646">
        <f>L809+L810</f>
        <v>0</v>
      </c>
      <c r="M808" s="646">
        <f>M809+M810</f>
        <v>0</v>
      </c>
      <c r="N808" s="646">
        <f>N809+N810</f>
        <v>0</v>
      </c>
      <c r="O808" s="646">
        <f t="shared" si="110"/>
        <v>0</v>
      </c>
      <c r="P808" s="646">
        <f t="shared" si="111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184</v>
      </c>
      <c r="F809" s="758"/>
      <c r="G809" s="602"/>
      <c r="H809" s="164" t="s">
        <v>12</v>
      </c>
      <c r="I809" s="616"/>
      <c r="J809" s="616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185</v>
      </c>
      <c r="F810" s="758"/>
      <c r="G810" s="602"/>
      <c r="H810" s="164" t="s">
        <v>12</v>
      </c>
      <c r="I810" s="616"/>
      <c r="J810" s="616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186</v>
      </c>
      <c r="G811" s="602"/>
      <c r="H811" s="164" t="s">
        <v>12</v>
      </c>
      <c r="I811" s="616"/>
      <c r="J811" s="616"/>
      <c r="K811" s="92"/>
      <c r="L811" s="92"/>
      <c r="M811" s="92"/>
      <c r="N811" s="92"/>
      <c r="O811" s="92"/>
      <c r="P811" s="92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187</v>
      </c>
      <c r="G812" s="602"/>
      <c r="H812" s="164" t="s">
        <v>12</v>
      </c>
      <c r="I812" s="616"/>
      <c r="J812" s="616"/>
      <c r="K812" s="92"/>
      <c r="L812" s="92"/>
      <c r="M812" s="92"/>
      <c r="N812" s="92"/>
      <c r="O812" s="92"/>
      <c r="P812" s="92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188</v>
      </c>
      <c r="G813" s="602"/>
      <c r="H813" s="164" t="s">
        <v>12</v>
      </c>
      <c r="I813" s="616"/>
      <c r="J813" s="616"/>
      <c r="K813" s="92"/>
      <c r="L813" s="92"/>
      <c r="M813" s="92"/>
      <c r="N813" s="92"/>
      <c r="O813" s="92"/>
      <c r="P813" s="92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189</v>
      </c>
      <c r="G814" s="602"/>
      <c r="H814" s="164" t="s">
        <v>12</v>
      </c>
      <c r="I814" s="616"/>
      <c r="J814" s="616"/>
      <c r="K814" s="92"/>
      <c r="L814" s="92"/>
      <c r="M814" s="92"/>
      <c r="N814" s="92"/>
      <c r="O814" s="92"/>
      <c r="P814" s="92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912" t="s">
        <v>21</v>
      </c>
      <c r="E815" s="888"/>
      <c r="F815" s="888"/>
      <c r="G815" s="602"/>
      <c r="H815" s="782" t="s">
        <v>12</v>
      </c>
      <c r="I815" s="165"/>
      <c r="J815" s="165"/>
      <c r="K815" s="166"/>
      <c r="L815" s="646">
        <f>L816+L817</f>
        <v>0</v>
      </c>
      <c r="M815" s="646">
        <f>M816+M817</f>
        <v>0</v>
      </c>
      <c r="N815" s="646">
        <f>N816+N817</f>
        <v>0</v>
      </c>
      <c r="O815" s="646">
        <f>IF(L815&gt;0,N815*100/L815,0)</f>
        <v>0</v>
      </c>
      <c r="P815" s="646">
        <f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37" t="s">
        <v>38</v>
      </c>
      <c r="E818" s="650"/>
      <c r="F818" s="650"/>
      <c r="G818" s="651"/>
      <c r="H818" s="365"/>
      <c r="I818" s="165"/>
      <c r="J818" s="165"/>
      <c r="K818" s="166"/>
      <c r="L818" s="166"/>
      <c r="M818" s="166"/>
      <c r="N818" s="166"/>
      <c r="O818" s="166"/>
      <c r="P818" s="166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323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36" t="s">
        <v>340</v>
      </c>
      <c r="B820" s="834"/>
      <c r="C820" s="834"/>
      <c r="D820" s="835"/>
      <c r="E820" s="834"/>
      <c r="F820" s="834"/>
      <c r="G820" s="833"/>
      <c r="H820" s="832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1"/>
      <c r="J820" s="831"/>
      <c r="K820" s="830"/>
      <c r="L820" s="830"/>
      <c r="M820" s="830"/>
      <c r="N820" s="830"/>
      <c r="O820" s="830"/>
      <c r="P820" s="83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325</v>
      </c>
      <c r="C821" s="762"/>
      <c r="D821" s="574"/>
      <c r="E821" s="762"/>
      <c r="F821" s="762"/>
      <c r="G821" s="188"/>
      <c r="H821" s="622" t="s">
        <v>12</v>
      </c>
      <c r="I821" s="269">
        <f ca="1">IFERROR(__xludf.DUMMYFUNCTION("IMPORTRANGE(""https://docs.google.com/spreadsheets/d/19vJNZY_5yjcGF2XGBMNZRCAIB0Kwfpjp8YEOfu-bneM/edit?usp=sharing"",""งานกองทุน!D79"")"),345143.53)</f>
        <v>345143.53</v>
      </c>
      <c r="J821" s="269">
        <f ca="1">IFERROR(__xludf.DUMMYFUNCTION("IMPORTRANGE(""https://docs.google.com/spreadsheets/d/19vJNZY_5yjcGF2XGBMNZRCAIB0Kwfpjp8YEOfu-bneM/edit?usp=sharing"",""งานกองทุน!F79"")"),349959.67)</f>
        <v>349959.67</v>
      </c>
      <c r="K821" s="497">
        <f t="shared" ref="K821:K828" ca="1" si="113">IF(I821&gt;0,J821*100/I821,0)</f>
        <v>101.39540208098352</v>
      </c>
      <c r="L821" s="497"/>
      <c r="M821" s="497"/>
      <c r="N821" s="497"/>
      <c r="O821" s="497"/>
      <c r="P821" s="497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8"/>
      <c r="H822" s="622" t="s">
        <v>35</v>
      </c>
      <c r="I822" s="269">
        <f ca="1">IFERROR(__xludf.DUMMYFUNCTION("IMPORTRANGE(""https://docs.google.com/spreadsheets/d/19vJNZY_5yjcGF2XGBMNZRCAIB0Kwfpjp8YEOfu-bneM/edit?usp=sharing"",""งานกองทุน!C79"")"),29)</f>
        <v>29</v>
      </c>
      <c r="J822" s="269">
        <f ca="1">IFERROR(__xludf.DUMMYFUNCTION("IMPORTRANGE(""https://docs.google.com/spreadsheets/d/19vJNZY_5yjcGF2XGBMNZRCAIB0Kwfpjp8YEOfu-bneM/edit?usp=sharing"",""งานกองทุน!E79"")"),30)</f>
        <v>30</v>
      </c>
      <c r="K822" s="497">
        <f t="shared" ca="1" si="113"/>
        <v>103.44827586206897</v>
      </c>
      <c r="L822" s="497"/>
      <c r="M822" s="497"/>
      <c r="N822" s="497"/>
      <c r="O822" s="497"/>
      <c r="P822" s="497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326</v>
      </c>
      <c r="C823" s="762"/>
      <c r="D823" s="574"/>
      <c r="E823" s="762"/>
      <c r="F823" s="762"/>
      <c r="G823" s="188"/>
      <c r="H823" s="622" t="s">
        <v>12</v>
      </c>
      <c r="I823" s="269">
        <f ca="1">IFERROR(__xludf.DUMMYFUNCTION("IMPORTRANGE(""https://docs.google.com/spreadsheets/d/19vJNZY_5yjcGF2XGBMNZRCAIB0Kwfpjp8YEOfu-bneM/edit?usp=sharing"",""งานกองทุน!I79"")"),244042.17)</f>
        <v>244042.17</v>
      </c>
      <c r="J823" s="269">
        <f ca="1">IFERROR(__xludf.DUMMYFUNCTION("IMPORTRANGE(""https://docs.google.com/spreadsheets/d/19vJNZY_5yjcGF2XGBMNZRCAIB0Kwfpjp8YEOfu-bneM/edit?usp=sharing"",""งานกองทุน!K79"")"),36771.27)</f>
        <v>36771.269999999997</v>
      </c>
      <c r="K823" s="497">
        <f t="shared" ca="1" si="113"/>
        <v>15.067588523737514</v>
      </c>
      <c r="L823" s="497"/>
      <c r="M823" s="497"/>
      <c r="N823" s="497"/>
      <c r="O823" s="497"/>
      <c r="P823" s="497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8"/>
      <c r="H824" s="622" t="s">
        <v>35</v>
      </c>
      <c r="I824" s="269">
        <f ca="1">IFERROR(__xludf.DUMMYFUNCTION("IMPORTRANGE(""https://docs.google.com/spreadsheets/d/19vJNZY_5yjcGF2XGBMNZRCAIB0Kwfpjp8YEOfu-bneM/edit?usp=sharing"",""งานกองทุน!H79"")"),9)</f>
        <v>9</v>
      </c>
      <c r="J824" s="269">
        <f ca="1">IFERROR(__xludf.DUMMYFUNCTION("IMPORTRANGE(""https://docs.google.com/spreadsheets/d/19vJNZY_5yjcGF2XGBMNZRCAIB0Kwfpjp8YEOfu-bneM/edit?usp=sharing"",""งานกองทุน!J79"")"),9)</f>
        <v>9</v>
      </c>
      <c r="K824" s="497">
        <f t="shared" ca="1" si="113"/>
        <v>100</v>
      </c>
      <c r="L824" s="497"/>
      <c r="M824" s="497"/>
      <c r="N824" s="497"/>
      <c r="O824" s="497"/>
      <c r="P824" s="497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327</v>
      </c>
      <c r="C825" s="762"/>
      <c r="D825" s="574"/>
      <c r="E825" s="762"/>
      <c r="F825" s="762"/>
      <c r="G825" s="188"/>
      <c r="H825" s="622" t="s">
        <v>12</v>
      </c>
      <c r="I825" s="269">
        <f ca="1">IFERROR(__xludf.DUMMYFUNCTION("IMPORTRANGE(""https://docs.google.com/spreadsheets/d/19vJNZY_5yjcGF2XGBMNZRCAIB0Kwfpjp8YEOfu-bneM/edit?usp=sharing"",""งานกองทุน!N79"")"),91681.58)</f>
        <v>91681.58</v>
      </c>
      <c r="J825" s="269">
        <f ca="1">IFERROR(__xludf.DUMMYFUNCTION("IMPORTRANGE(""https://docs.google.com/spreadsheets/d/19vJNZY_5yjcGF2XGBMNZRCAIB0Kwfpjp8YEOfu-bneM/edit?usp=sharing"",""งานกองทุน!P79"")"),90141.64)</f>
        <v>90141.64</v>
      </c>
      <c r="K825" s="497">
        <f t="shared" ca="1" si="113"/>
        <v>98.320338720166035</v>
      </c>
      <c r="L825" s="497"/>
      <c r="M825" s="497"/>
      <c r="N825" s="497"/>
      <c r="O825" s="497"/>
      <c r="P825" s="497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8"/>
      <c r="H826" s="622" t="s">
        <v>35</v>
      </c>
      <c r="I826" s="269">
        <f ca="1">IFERROR(__xludf.DUMMYFUNCTION("IMPORTRANGE(""https://docs.google.com/spreadsheets/d/19vJNZY_5yjcGF2XGBMNZRCAIB0Kwfpjp8YEOfu-bneM/edit?usp=sharing"",""งานกองทุน!M79"")"),172)</f>
        <v>172</v>
      </c>
      <c r="J826" s="269">
        <f ca="1">IFERROR(__xludf.DUMMYFUNCTION("IMPORTRANGE(""https://docs.google.com/spreadsheets/d/19vJNZY_5yjcGF2XGBMNZRCAIB0Kwfpjp8YEOfu-bneM/edit?usp=sharing"",""งานกองทุน!O79"")"),169)</f>
        <v>169</v>
      </c>
      <c r="K826" s="497">
        <f t="shared" ca="1" si="113"/>
        <v>98.255813953488371</v>
      </c>
      <c r="L826" s="497"/>
      <c r="M826" s="497"/>
      <c r="N826" s="497"/>
      <c r="O826" s="497"/>
      <c r="P826" s="497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328</v>
      </c>
      <c r="C827" s="762"/>
      <c r="D827" s="574"/>
      <c r="E827" s="762"/>
      <c r="F827" s="762"/>
      <c r="G827" s="188"/>
      <c r="H827" s="622" t="s">
        <v>12</v>
      </c>
      <c r="I827" s="269">
        <f ca="1">IFERROR(__xludf.DUMMYFUNCTION("IMPORTRANGE(""https://docs.google.com/spreadsheets/d/19vJNZY_5yjcGF2XGBMNZRCAIB0Kwfpjp8YEOfu-bneM/edit?usp=sharing"",""งานกองทุน!S79"")"),330000)</f>
        <v>330000</v>
      </c>
      <c r="J827" s="269">
        <f ca="1">IFERROR(__xludf.DUMMYFUNCTION("IMPORTRANGE(""https://docs.google.com/spreadsheets/d/19vJNZY_5yjcGF2XGBMNZRCAIB0Kwfpjp8YEOfu-bneM/edit?usp=sharing"",""งานกองทุน!U79"")"),420000)</f>
        <v>420000</v>
      </c>
      <c r="K827" s="497">
        <f t="shared" ca="1" si="113"/>
        <v>127.27272727272727</v>
      </c>
      <c r="L827" s="497"/>
      <c r="M827" s="497"/>
      <c r="N827" s="497"/>
      <c r="O827" s="497"/>
      <c r="P827" s="497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827"/>
      <c r="B828" s="748"/>
      <c r="C828" s="748"/>
      <c r="D828" s="747"/>
      <c r="E828" s="748"/>
      <c r="F828" s="748"/>
      <c r="G828" s="828"/>
      <c r="H828" s="829" t="s">
        <v>35</v>
      </c>
      <c r="I828" s="505">
        <f ca="1">IFERROR(__xludf.DUMMYFUNCTION("IMPORTRANGE(""https://docs.google.com/spreadsheets/d/19vJNZY_5yjcGF2XGBMNZRCAIB0Kwfpjp8YEOfu-bneM/edit?usp=sharing"",""งานกองทุน!R79"")"),13)</f>
        <v>13</v>
      </c>
      <c r="J828" s="505">
        <f ca="1">IFERROR(__xludf.DUMMYFUNCTION("IMPORTRANGE(""https://docs.google.com/spreadsheets/d/19vJNZY_5yjcGF2XGBMNZRCAIB0Kwfpjp8YEOfu-bneM/edit?usp=sharing"",""งานกองทุน!T79"")"),14)</f>
        <v>14</v>
      </c>
      <c r="K828" s="506">
        <f t="shared" ca="1" si="113"/>
        <v>107.69230769230769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 gridLines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FDED9-0840-49E0-B0DB-743E1C03B978}">
  <sheetPr>
    <outlinePr summaryBelow="0" summaryRight="0"/>
    <pageSetUpPr fitToPage="1"/>
  </sheetPr>
  <dimension ref="A1:Z828"/>
  <sheetViews>
    <sheetView view="pageBreakPreview" zoomScale="50" zoomScaleNormal="10" zoomScaleSheetLayoutView="50" workbookViewId="0">
      <pane ySplit="7" topLeftCell="A8" activePane="bottomLeft" state="frozen"/>
      <selection activeCell="X18" sqref="X18:X21"/>
      <selection pane="bottomLeft" activeCell="X18" sqref="X18:X2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7.5703125" bestFit="1" customWidth="1"/>
    <col min="10" max="10" width="14.7109375" bestFit="1" customWidth="1"/>
    <col min="11" max="11" width="13" bestFit="1" customWidth="1"/>
    <col min="12" max="14" width="22.140625" bestFit="1" customWidth="1"/>
    <col min="15" max="15" width="20.140625" bestFit="1" customWidth="1"/>
    <col min="16" max="16" width="22" bestFit="1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342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354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4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2993673</v>
      </c>
      <c r="M8" s="21">
        <f ca="1">M9+M10</f>
        <v>3190024</v>
      </c>
      <c r="N8" s="21">
        <f ca="1">N9+N10</f>
        <v>3190023.2800000003</v>
      </c>
      <c r="O8" s="21">
        <f t="shared" ref="O8:O16" ca="1" si="0">IF(L8&gt;0,N8*100/L8,0)</f>
        <v>106.55884193096574</v>
      </c>
      <c r="P8" s="21">
        <f t="shared" ref="P8:P16" ca="1" si="1">IF(M8&gt;0,N8*100/M8,0)</f>
        <v>99.9999774296369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2993673</v>
      </c>
      <c r="M10" s="29">
        <f t="shared" ca="1" si="2"/>
        <v>3190024</v>
      </c>
      <c r="N10" s="29">
        <f t="shared" ca="1" si="2"/>
        <v>3190023.2800000003</v>
      </c>
      <c r="O10" s="29">
        <f t="shared" ca="1" si="0"/>
        <v>106.55884193096574</v>
      </c>
      <c r="P10" s="29">
        <f t="shared" ca="1" si="1"/>
        <v>99.9999774296369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22" t="s">
        <v>12</v>
      </c>
      <c r="I11" s="269"/>
      <c r="J11" s="269"/>
      <c r="K11" s="497"/>
      <c r="L11" s="497">
        <f ca="1">L12+L13</f>
        <v>2917673</v>
      </c>
      <c r="M11" s="497">
        <f ca="1">M12+M13</f>
        <v>3114024</v>
      </c>
      <c r="N11" s="497">
        <f ca="1">N12+N13</f>
        <v>3114023.2800000003</v>
      </c>
      <c r="O11" s="497">
        <f t="shared" ca="1" si="0"/>
        <v>106.72968766547862</v>
      </c>
      <c r="P11" s="497">
        <f t="shared" ca="1" si="1"/>
        <v>99.999976878790918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6"/>
      <c r="J12" s="616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6"/>
      <c r="J13" s="616"/>
      <c r="K13" s="92"/>
      <c r="L13" s="92">
        <f t="shared" ca="1" si="3"/>
        <v>2917673</v>
      </c>
      <c r="M13" s="92">
        <f t="shared" ca="1" si="3"/>
        <v>3114024</v>
      </c>
      <c r="N13" s="92">
        <f t="shared" ca="1" si="3"/>
        <v>3114023.2800000003</v>
      </c>
      <c r="O13" s="92">
        <f t="shared" ca="1" si="0"/>
        <v>106.72968766547862</v>
      </c>
      <c r="P13" s="92">
        <f t="shared" ca="1" si="1"/>
        <v>99.999976878790918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22" t="s">
        <v>12</v>
      </c>
      <c r="I14" s="269"/>
      <c r="J14" s="269"/>
      <c r="K14" s="497"/>
      <c r="L14" s="497">
        <f ca="1">L15+L16</f>
        <v>76000</v>
      </c>
      <c r="M14" s="497">
        <f ca="1">M15+M16</f>
        <v>76000</v>
      </c>
      <c r="N14" s="497">
        <f ca="1">N15+N16</f>
        <v>76000</v>
      </c>
      <c r="O14" s="497">
        <f t="shared" ca="1" si="0"/>
        <v>100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6"/>
      <c r="J15" s="616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76000</v>
      </c>
      <c r="M16" s="51">
        <f t="shared" ca="1" si="4"/>
        <v>76000</v>
      </c>
      <c r="N16" s="51">
        <f t="shared" ca="1" si="4"/>
        <v>76000</v>
      </c>
      <c r="O16" s="51">
        <f t="shared" ca="1" si="0"/>
        <v>100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2425392</v>
      </c>
      <c r="M18" s="21">
        <f ca="1">M19+M20</f>
        <v>2664117</v>
      </c>
      <c r="N18" s="21">
        <f ca="1">N19+N20</f>
        <v>2664116.2800000003</v>
      </c>
      <c r="O18" s="21">
        <f t="shared" ref="O18:O26" ca="1" si="5">IF(L18&gt;0,N18*100/L18,0)</f>
        <v>109.84270913732709</v>
      </c>
      <c r="P18" s="21">
        <f t="shared" ref="P18:P26" ca="1" si="6">IF(M18&gt;0,N18*100/M18,0)</f>
        <v>99.999972974159931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2425392</v>
      </c>
      <c r="M20" s="29">
        <f t="shared" ca="1" si="7"/>
        <v>2664117</v>
      </c>
      <c r="N20" s="29">
        <f t="shared" ca="1" si="7"/>
        <v>2664116.2800000003</v>
      </c>
      <c r="O20" s="29">
        <f t="shared" ca="1" si="5"/>
        <v>109.84270913732709</v>
      </c>
      <c r="P20" s="29">
        <f t="shared" ca="1" si="6"/>
        <v>99.999972974159931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22" t="s">
        <v>12</v>
      </c>
      <c r="I21" s="269"/>
      <c r="J21" s="269"/>
      <c r="K21" s="497"/>
      <c r="L21" s="497">
        <f ca="1">L22+L23</f>
        <v>2349392</v>
      </c>
      <c r="M21" s="497">
        <f ca="1">M22+M23</f>
        <v>2588117</v>
      </c>
      <c r="N21" s="497">
        <f ca="1">N22+N23</f>
        <v>2588116.2800000003</v>
      </c>
      <c r="O21" s="497">
        <f t="shared" ca="1" si="5"/>
        <v>110.16110891668995</v>
      </c>
      <c r="P21" s="497">
        <f t="shared" ca="1" si="6"/>
        <v>99.99997218054672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6"/>
      <c r="J22" s="616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6"/>
      <c r="J23" s="616"/>
      <c r="K23" s="92"/>
      <c r="L23" s="92">
        <f t="shared" ca="1" si="8"/>
        <v>2349392</v>
      </c>
      <c r="M23" s="92">
        <f t="shared" ca="1" si="8"/>
        <v>2588117</v>
      </c>
      <c r="N23" s="92">
        <f t="shared" ca="1" si="8"/>
        <v>2588116.2800000003</v>
      </c>
      <c r="O23" s="92">
        <f t="shared" ca="1" si="5"/>
        <v>110.16110891668995</v>
      </c>
      <c r="P23" s="92">
        <f t="shared" ca="1" si="6"/>
        <v>99.99997218054672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22" t="s">
        <v>12</v>
      </c>
      <c r="I24" s="269"/>
      <c r="J24" s="269"/>
      <c r="K24" s="497"/>
      <c r="L24" s="497">
        <f ca="1">L25+L26</f>
        <v>76000</v>
      </c>
      <c r="M24" s="497">
        <f ca="1">M25+M26</f>
        <v>76000</v>
      </c>
      <c r="N24" s="497">
        <f ca="1">N25+N26</f>
        <v>76000</v>
      </c>
      <c r="O24" s="497">
        <f t="shared" ca="1" si="5"/>
        <v>100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6"/>
      <c r="J25" s="616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76000</v>
      </c>
      <c r="M26" s="51">
        <f t="shared" ca="1" si="9"/>
        <v>76000</v>
      </c>
      <c r="N26" s="51">
        <f t="shared" ca="1" si="9"/>
        <v>76000</v>
      </c>
      <c r="O26" s="51">
        <f t="shared" ca="1" si="5"/>
        <v>100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568281</v>
      </c>
      <c r="M28" s="21">
        <f ca="1">M29+M30</f>
        <v>525907</v>
      </c>
      <c r="N28" s="21">
        <f>N29+N30</f>
        <v>525907</v>
      </c>
      <c r="O28" s="21">
        <f t="shared" ref="O28:O37" ca="1" si="10">IF(L28&gt;0,N28*100/L28,0)</f>
        <v>92.543477610548308</v>
      </c>
      <c r="P28" s="21">
        <f t="shared" ref="P28:P37" ca="1" si="11">IF(M28&gt;0,N28*100/M28,0)</f>
        <v>100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568281</v>
      </c>
      <c r="M30" s="29">
        <f t="shared" ca="1" si="12"/>
        <v>525907</v>
      </c>
      <c r="N30" s="29">
        <f t="shared" si="12"/>
        <v>525907</v>
      </c>
      <c r="O30" s="29">
        <f t="shared" ca="1" si="10"/>
        <v>92.543477610548308</v>
      </c>
      <c r="P30" s="29">
        <f t="shared" ca="1" si="11"/>
        <v>100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22" t="s">
        <v>12</v>
      </c>
      <c r="I31" s="269"/>
      <c r="J31" s="269"/>
      <c r="K31" s="497"/>
      <c r="L31" s="497">
        <f ca="1">L32+L33</f>
        <v>568281</v>
      </c>
      <c r="M31" s="497">
        <f ca="1">M32+M33</f>
        <v>525907</v>
      </c>
      <c r="N31" s="497">
        <f>N32+N33</f>
        <v>525907</v>
      </c>
      <c r="O31" s="497">
        <f t="shared" ca="1" si="10"/>
        <v>92.543477610548308</v>
      </c>
      <c r="P31" s="497">
        <f t="shared" ca="1" si="11"/>
        <v>100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6"/>
      <c r="J32" s="616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6"/>
      <c r="J33" s="616"/>
      <c r="K33" s="92"/>
      <c r="L33" s="92">
        <f t="shared" ca="1" si="13"/>
        <v>568281</v>
      </c>
      <c r="M33" s="92">
        <f t="shared" ca="1" si="13"/>
        <v>525907</v>
      </c>
      <c r="N33" s="92">
        <f t="shared" si="13"/>
        <v>525907</v>
      </c>
      <c r="O33" s="92">
        <f t="shared" ca="1" si="10"/>
        <v>92.543477610548308</v>
      </c>
      <c r="P33" s="92">
        <f t="shared" ca="1" si="11"/>
        <v>100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22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6"/>
      <c r="J35" s="616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868" t="s">
        <v>24</v>
      </c>
      <c r="B37" s="867"/>
      <c r="C37" s="867"/>
      <c r="D37" s="867"/>
      <c r="E37" s="867"/>
      <c r="F37" s="867"/>
      <c r="G37" s="866"/>
      <c r="H37" s="865"/>
      <c r="I37" s="864"/>
      <c r="J37" s="864"/>
      <c r="K37" s="863"/>
      <c r="L37" s="862">
        <f ca="1">L41+L53+L66+L88+L119+L132+L149+L165+L181+L261+L277+L298+L315+L328+L345+L389+L402</f>
        <v>2425392</v>
      </c>
      <c r="M37" s="862">
        <f ca="1">M41+M53+M66+M88+M119+M132+M149+M165+M181+M261+M277+M298+M315+M328+M345+M389+M402</f>
        <v>2664117</v>
      </c>
      <c r="N37" s="862">
        <f ca="1">N41+N53+N66+N88+N119+N132+N149+N165+N181+N261+N277+N298+N315+N328+N345+N389+N402</f>
        <v>2664116.2800000003</v>
      </c>
      <c r="O37" s="862">
        <f t="shared" ca="1" si="10"/>
        <v>109.84270913732709</v>
      </c>
      <c r="P37" s="862">
        <f t="shared" ca="1" si="11"/>
        <v>99.999972974159931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9" t="s">
        <v>27</v>
      </c>
      <c r="C40" s="888"/>
      <c r="D40" s="888"/>
      <c r="E40" s="888"/>
      <c r="F40" s="888"/>
      <c r="G40" s="894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1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376442</v>
      </c>
      <c r="M41" s="84">
        <f ca="1">M42+M43</f>
        <v>482527</v>
      </c>
      <c r="N41" s="84">
        <f ca="1">N42+N43</f>
        <v>482527</v>
      </c>
      <c r="O41" s="84">
        <f t="shared" ref="O41:O49" ca="1" si="15">IF(L41&gt;0,N41*100/L41,0)</f>
        <v>128.18096811726642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376442</v>
      </c>
      <c r="M43" s="91">
        <f t="shared" ca="1" si="17"/>
        <v>482527</v>
      </c>
      <c r="N43" s="91">
        <f t="shared" ca="1" si="17"/>
        <v>482527</v>
      </c>
      <c r="O43" s="91">
        <f t="shared" ca="1" si="15"/>
        <v>128.18096811726642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22" t="s">
        <v>12</v>
      </c>
      <c r="I44" s="269"/>
      <c r="J44" s="269"/>
      <c r="K44" s="497"/>
      <c r="L44" s="497">
        <f ca="1">L45+L46</f>
        <v>376442</v>
      </c>
      <c r="M44" s="497">
        <f ca="1">M45+M46</f>
        <v>482527</v>
      </c>
      <c r="N44" s="497">
        <f ca="1">N45+N46</f>
        <v>482527</v>
      </c>
      <c r="O44" s="497">
        <f t="shared" ca="1" si="15"/>
        <v>128.18096811726642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6"/>
      <c r="J45" s="616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6"/>
      <c r="J46" s="616"/>
      <c r="K46" s="92"/>
      <c r="L46" s="92">
        <f ca="1">IFERROR(__xludf.DUMMYFUNCTION("IMPORTRANGE(""https://docs.google.com/spreadsheets/d/1MeEWN-I1oV_STSDYn1IFDPWt_1FKiwhDph83XaGc0o0/edit?usp=sharing"",""งบพรบ!M80"")"),376442)</f>
        <v>376442</v>
      </c>
      <c r="M46" s="92">
        <f ca="1">IFERROR(__xludf.DUMMYFUNCTION("IMPORTRANGE(""https://docs.google.com/spreadsheets/d/1MeEWN-I1oV_STSDYn1IFDPWt_1FKiwhDph83XaGc0o0/edit?usp=sharing"",""งบพรบ!R80"")"),482527)</f>
        <v>482527</v>
      </c>
      <c r="N46" s="92">
        <f ca="1">IFERROR(__xludf.DUMMYFUNCTION("IMPORTRANGE(""https://docs.google.com/spreadsheets/d/1MeEWN-I1oV_STSDYn1IFDPWt_1FKiwhDph83XaGc0o0/edit?usp=sharing"",""งบพรบ!T80"")"),482527)</f>
        <v>482527</v>
      </c>
      <c r="O46" s="92">
        <f t="shared" ca="1" si="15"/>
        <v>128.18096811726642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22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6"/>
      <c r="J48" s="616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IFERROR(__xludf.DUMMYFUNCTION("IMPORTRANGE(""https://docs.google.com/spreadsheets/d/1MeEWN-I1oV_STSDYn1IFDPWt_1FKiwhDph83XaGc0o0/edit?usp=sharing"",""งบพรบ!P80"")"),0)</f>
        <v>0</v>
      </c>
      <c r="M49" s="51">
        <f ca="1">IFERROR(__xludf.DUMMYFUNCTION("IMPORTRANGE(""https://docs.google.com/spreadsheets/d/1MeEWN-I1oV_STSDYn1IFDPWt_1FKiwhDph83XaGc0o0/edit?usp=sharing"",""งบพรบ!S80"")"),0)</f>
        <v>0</v>
      </c>
      <c r="N49" s="51">
        <f ca="1">IFERROR(__xludf.DUMMYFUNCTION("IMPORTRANGE(""https://docs.google.com/spreadsheets/d/1MeEWN-I1oV_STSDYn1IFDPWt_1FKiwhDph83XaGc0o0/edit?usp=sharing"",""งบพรบ!U80"")"),0)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3" t="s">
        <v>29</v>
      </c>
      <c r="C51" s="888"/>
      <c r="D51" s="888"/>
      <c r="E51" s="888"/>
      <c r="F51" s="888"/>
      <c r="G51" s="894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572600</v>
      </c>
      <c r="M53" s="115">
        <f ca="1">M54+M55</f>
        <v>584000</v>
      </c>
      <c r="N53" s="115">
        <f ca="1">N54+N55</f>
        <v>584000</v>
      </c>
      <c r="O53" s="115">
        <f t="shared" ref="O53:O61" ca="1" si="18">IF(L53&gt;0,N53*100/L53,0)</f>
        <v>101.99091861683549</v>
      </c>
      <c r="P53" s="115">
        <f t="shared" ref="P53:P61" ca="1" si="19">IF(M53&gt;0,N53*100/M53,0)</f>
        <v>100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572600</v>
      </c>
      <c r="M55" s="122">
        <f t="shared" ca="1" si="20"/>
        <v>584000</v>
      </c>
      <c r="N55" s="122">
        <f t="shared" ca="1" si="20"/>
        <v>584000</v>
      </c>
      <c r="O55" s="122">
        <f t="shared" ca="1" si="18"/>
        <v>101.99091861683549</v>
      </c>
      <c r="P55" s="122">
        <f t="shared" ca="1" si="19"/>
        <v>100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22" t="s">
        <v>12</v>
      </c>
      <c r="I56" s="269"/>
      <c r="J56" s="269"/>
      <c r="K56" s="497"/>
      <c r="L56" s="497">
        <f ca="1">L57+L58</f>
        <v>572600</v>
      </c>
      <c r="M56" s="497">
        <f ca="1">M57+M58</f>
        <v>584000</v>
      </c>
      <c r="N56" s="497">
        <f ca="1">N57+N58</f>
        <v>584000</v>
      </c>
      <c r="O56" s="497">
        <f t="shared" ca="1" si="18"/>
        <v>101.99091861683549</v>
      </c>
      <c r="P56" s="497">
        <f t="shared" ca="1" si="19"/>
        <v>100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6"/>
      <c r="J57" s="616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6"/>
      <c r="J58" s="616"/>
      <c r="K58" s="92"/>
      <c r="L58" s="92">
        <f ca="1">IFERROR(__xludf.DUMMYFUNCTION("IMPORTRANGE(""https://docs.google.com/spreadsheets/d/1MeEWN-I1oV_STSDYn1IFDPWt_1FKiwhDph83XaGc0o0/edit?usp=sharing"",""งบพรบ!W80"")"),572600)</f>
        <v>572600</v>
      </c>
      <c r="M58" s="92">
        <f ca="1">IFERROR(__xludf.DUMMYFUNCTION("IMPORTRANGE(""https://docs.google.com/spreadsheets/d/1MeEWN-I1oV_STSDYn1IFDPWt_1FKiwhDph83XaGc0o0/edit?usp=sharing"",""งบพรบ!AB80"")"),584000)</f>
        <v>584000</v>
      </c>
      <c r="N58" s="92">
        <f ca="1">IFERROR(__xludf.DUMMYFUNCTION("IMPORTRANGE(""https://docs.google.com/spreadsheets/d/1MeEWN-I1oV_STSDYn1IFDPWt_1FKiwhDph83XaGc0o0/edit?usp=sharing"",""งบพรบ!AD80"")"),584000)</f>
        <v>584000</v>
      </c>
      <c r="O58" s="92">
        <f t="shared" ca="1" si="18"/>
        <v>101.99091861683549</v>
      </c>
      <c r="P58" s="92">
        <f t="shared" ca="1" si="19"/>
        <v>100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22" t="s">
        <v>12</v>
      </c>
      <c r="I59" s="269"/>
      <c r="J59" s="269"/>
      <c r="K59" s="497"/>
      <c r="L59" s="497">
        <f ca="1">L60+L61</f>
        <v>0</v>
      </c>
      <c r="M59" s="497">
        <f ca="1">M60+M61</f>
        <v>0</v>
      </c>
      <c r="N59" s="497">
        <f ca="1">N60+N61</f>
        <v>0</v>
      </c>
      <c r="O59" s="497">
        <f t="shared" ca="1" si="18"/>
        <v>0</v>
      </c>
      <c r="P59" s="497">
        <f t="shared" ca="1" si="19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6"/>
      <c r="J60" s="616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IFERROR(__xludf.DUMMYFUNCTION("IMPORTRANGE(""https://docs.google.com/spreadsheets/d/1MeEWN-I1oV_STSDYn1IFDPWt_1FKiwhDph83XaGc0o0/edit?usp=sharing"",""งบพรบ!Z80"")"),0)</f>
        <v>0</v>
      </c>
      <c r="M61" s="51">
        <f ca="1">IFERROR(__xludf.DUMMYFUNCTION("IMPORTRANGE(""https://docs.google.com/spreadsheets/d/1MeEWN-I1oV_STSDYn1IFDPWt_1FKiwhDph83XaGc0o0/edit?usp=sharing"",""งบพรบ!AC80"")"),0)</f>
        <v>0</v>
      </c>
      <c r="N61" s="51">
        <f ca="1">IFERROR(__xludf.DUMMYFUNCTION("IMPORTRANGE(""https://docs.google.com/spreadsheets/d/1MeEWN-I1oV_STSDYn1IFDPWt_1FKiwhDph83XaGc0o0/edit?usp=sharing"",""งบพรบ!AE80"")"),0)</f>
        <v>0</v>
      </c>
      <c r="O61" s="51">
        <f t="shared" ca="1" si="18"/>
        <v>0</v>
      </c>
      <c r="P61" s="51">
        <f t="shared" ca="1" si="19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46" t="s">
        <v>17</v>
      </c>
      <c r="E66" s="147"/>
      <c r="F66" s="147"/>
      <c r="G66" s="150"/>
      <c r="H66" s="151" t="s">
        <v>12</v>
      </c>
      <c r="I66" s="420"/>
      <c r="J66" s="420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6"/>
      <c r="J67" s="616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6"/>
      <c r="J68" s="616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IFERROR(__xludf.DUMMYFUNCTION("IMPORTRANGE(""https://docs.google.com/spreadsheets/d/1MeEWN-I1oV_STSDYn1IFDPWt_1FKiwhDph83XaGc0o0/edit?usp=sharing"",""งบพรบ!AG80"")"),0)</f>
        <v>0</v>
      </c>
      <c r="M71" s="92">
        <f ca="1">IFERROR(__xludf.DUMMYFUNCTION("IMPORTRANGE(""https://docs.google.com/spreadsheets/d/1MeEWN-I1oV_STSDYn1IFDPWt_1FKiwhDph83XaGc0o0/edit?usp=sharing"",""งบพรบ!AL80"")"),0)</f>
        <v>0</v>
      </c>
      <c r="N71" s="92">
        <f ca="1">IFERROR(__xludf.DUMMYFUNCTION("IMPORTRANGE(""https://docs.google.com/spreadsheets/d/1MeEWN-I1oV_STSDYn1IFDPWt_1FKiwhDph83XaGc0o0/edit?usp=sharing"",""งบพรบ!AN80"")"),0)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IFERROR(__xludf.DUMMYFUNCTION("IMPORTRANGE(""https://docs.google.com/spreadsheets/d/1MeEWN-I1oV_STSDYn1IFDPWt_1FKiwhDph83XaGc0o0/edit?usp=sharing"",""งบพรบ!AJ80"")"),0)</f>
        <v>0</v>
      </c>
      <c r="M74" s="92">
        <f ca="1">IFERROR(__xludf.DUMMYFUNCTION("IMPORTRANGE(""https://docs.google.com/spreadsheets/d/1MeEWN-I1oV_STSDYn1IFDPWt_1FKiwhDph83XaGc0o0/edit?usp=sharing"",""งบพรบ!AM80"")"),0)</f>
        <v>0</v>
      </c>
      <c r="N74" s="92">
        <f ca="1">IFERROR(__xludf.DUMMYFUNCTION("IMPORTRANGE(""https://docs.google.com/spreadsheets/d/1MeEWN-I1oV_STSDYn1IFDPWt_1FKiwhDph83XaGc0o0/edit?usp=sharing"",""งบพรบ!AO80"")"),0)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47" t="s">
        <v>38</v>
      </c>
      <c r="E75" s="172"/>
      <c r="F75" s="172"/>
      <c r="G75" s="173"/>
      <c r="H75" s="761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7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7" t="s">
        <v>40</v>
      </c>
      <c r="F78" s="447"/>
      <c r="G78" s="178"/>
      <c r="H78" s="763" t="s">
        <v>34</v>
      </c>
      <c r="I78" s="183">
        <f ca="1">IFERROR(__xludf.DUMMYFUNCTION("IMPORTRANGE(""https://docs.google.com/spreadsheets/d/1QqKyyYR6Q21VydFLVH3TRQUabQu_ym0Zz7PgGX0-kHA/edit?usp=sharing"",""แผน!H80"")"),0)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63" t="s">
        <v>35</v>
      </c>
      <c r="I79" s="183">
        <f ca="1">IFERROR(__xludf.DUMMYFUNCTION("IMPORTRANGE(""https://docs.google.com/spreadsheets/d/1QqKyyYR6Q21VydFLVH3TRQUabQu_ym0Zz7PgGX0-kHA/edit?usp=sharing"",""แผน!I80"")"),0)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7" t="s">
        <v>41</v>
      </c>
      <c r="F80" s="447"/>
      <c r="G80" s="178"/>
      <c r="H80" s="763" t="s">
        <v>34</v>
      </c>
      <c r="I80" s="183">
        <f ca="1">IFERROR(__xludf.DUMMYFUNCTION("IMPORTRANGE(""https://docs.google.com/spreadsheets/d/1QqKyyYR6Q21VydFLVH3TRQUabQu_ym0Zz7PgGX0-kHA/edit?usp=sharing"",""แผน!F80"")"),0)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63" t="s">
        <v>35</v>
      </c>
      <c r="I81" s="183">
        <f ca="1">IFERROR(__xludf.DUMMYFUNCTION("IMPORTRANGE(""https://docs.google.com/spreadsheets/d/1QqKyyYR6Q21VydFLVH3TRQUabQu_ym0Zz7PgGX0-kHA/edit?usp=sharing"",""แผน!G80"")"),0)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7" t="s">
        <v>42</v>
      </c>
      <c r="F82" s="447"/>
      <c r="G82" s="178"/>
      <c r="H82" s="763" t="s">
        <v>34</v>
      </c>
      <c r="I82" s="183">
        <f ca="1">IFERROR(__xludf.DUMMYFUNCTION("IMPORTRANGE(""https://docs.google.com/spreadsheets/d/1QqKyyYR6Q21VydFLVH3TRQUabQu_ym0Zz7PgGX0-kHA/edit?usp=sharing"",""แผน!D80"")"),0)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63" t="s">
        <v>35</v>
      </c>
      <c r="I83" s="183">
        <f ca="1">IFERROR(__xludf.DUMMYFUNCTION("IMPORTRANGE(""https://docs.google.com/spreadsheets/d/1QqKyyYR6Q21VydFLVH3TRQUabQu_ym0Zz7PgGX0-kHA/edit?usp=sharing"",""แผน!E80"")"),0)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7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IFERROR(__xludf.DUMMYFUNCTION("IMPORTRANGE(""https://docs.google.com/spreadsheets/d/1QqKyyYR6Q21VydFLVH3TRQUabQu_ym0Zz7PgGX0-kHA/edit?usp=sharing"",""แผน!J80"")"),0)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46" t="s">
        <v>17</v>
      </c>
      <c r="E88" s="147"/>
      <c r="F88" s="147"/>
      <c r="G88" s="150"/>
      <c r="H88" s="151" t="s">
        <v>12</v>
      </c>
      <c r="I88" s="420"/>
      <c r="J88" s="420"/>
      <c r="K88" s="153"/>
      <c r="L88" s="154">
        <f ca="1">L89+L90</f>
        <v>228840</v>
      </c>
      <c r="M88" s="154">
        <f ca="1">M89+M90</f>
        <v>228840</v>
      </c>
      <c r="N88" s="154">
        <f ca="1">N89+N90</f>
        <v>228840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6"/>
      <c r="J89" s="616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6"/>
      <c r="J90" s="616"/>
      <c r="K90" s="92"/>
      <c r="L90" s="92">
        <f t="shared" ca="1" si="27"/>
        <v>228840</v>
      </c>
      <c r="M90" s="92">
        <f t="shared" ca="1" si="27"/>
        <v>228840</v>
      </c>
      <c r="N90" s="92">
        <f t="shared" ca="1" si="27"/>
        <v>228840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228840</v>
      </c>
      <c r="M91" s="497">
        <f ca="1">M92+M93</f>
        <v>228840</v>
      </c>
      <c r="N91" s="497">
        <f ca="1">N92+N93</f>
        <v>228840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IFERROR(__xludf.DUMMYFUNCTION("IMPORTRANGE(""https://docs.google.com/spreadsheets/d/1MeEWN-I1oV_STSDYn1IFDPWt_1FKiwhDph83XaGc0o0/edit?usp=sharing"",""งบพรบ!AQ80"")"),228840)</f>
        <v>228840</v>
      </c>
      <c r="M93" s="92">
        <f ca="1">IFERROR(__xludf.DUMMYFUNCTION("IMPORTRANGE(""https://docs.google.com/spreadsheets/d/1MeEWN-I1oV_STSDYn1IFDPWt_1FKiwhDph83XaGc0o0/edit?usp=sharing"",""งบพรบ!AV80"")"),228840)</f>
        <v>228840</v>
      </c>
      <c r="N93" s="92">
        <f ca="1">IFERROR(__xludf.DUMMYFUNCTION("IMPORTRANGE(""https://docs.google.com/spreadsheets/d/1MeEWN-I1oV_STSDYn1IFDPWt_1FKiwhDph83XaGc0o0/edit?usp=sharing"",""งบพรบ!AX80"")"),228840)</f>
        <v>228840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IFERROR(__xludf.DUMMYFUNCTION("IMPORTRANGE(""https://docs.google.com/spreadsheets/d/1MeEWN-I1oV_STSDYn1IFDPWt_1FKiwhDph83XaGc0o0/edit?usp=sharing"",""งบพรบ!AT80"")"),0)</f>
        <v>0</v>
      </c>
      <c r="M96" s="92">
        <f ca="1">IFERROR(__xludf.DUMMYFUNCTION("IMPORTRANGE(""https://docs.google.com/spreadsheets/d/1MeEWN-I1oV_STSDYn1IFDPWt_1FKiwhDph83XaGc0o0/edit?usp=sharing"",""งบพรบ!AW80"")"),0)</f>
        <v>0</v>
      </c>
      <c r="N96" s="92">
        <f ca="1">IFERROR(__xludf.DUMMYFUNCTION("IMPORTRANGE(""https://docs.google.com/spreadsheets/d/1MeEWN-I1oV_STSDYn1IFDPWt_1FKiwhDph83XaGc0o0/edit?usp=sharing"",""งบพรบ!AY80"")"),0)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47" t="s">
        <v>38</v>
      </c>
      <c r="E97" s="172"/>
      <c r="F97" s="172"/>
      <c r="G97" s="173"/>
      <c r="H97" s="761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7" t="s">
        <v>47</v>
      </c>
      <c r="E98" s="447"/>
      <c r="F98" s="177"/>
      <c r="G98" s="178"/>
      <c r="H98" s="622" t="s">
        <v>46</v>
      </c>
      <c r="I98" s="269">
        <f ca="1">IFERROR(__xludf.DUMMYFUNCTION("IMPORTRANGE(""https://docs.google.com/spreadsheets/d/1QqKyyYR6Q21VydFLVH3TRQUabQu_ym0Zz7PgGX0-kHA/edit?usp=sharing"",""แผน!K80"")"),30)</f>
        <v>30</v>
      </c>
      <c r="J98" s="269">
        <f>J102</f>
        <v>30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7" t="s">
        <v>48</v>
      </c>
      <c r="E99" s="447"/>
      <c r="F99" s="177"/>
      <c r="G99" s="178"/>
      <c r="H99" s="622" t="s">
        <v>35</v>
      </c>
      <c r="I99" s="269">
        <f ca="1">IFERROR(__xludf.DUMMYFUNCTION("IMPORTRANGE(""https://docs.google.com/spreadsheets/d/1QqKyyYR6Q21VydFLVH3TRQUabQu_ym0Zz7PgGX0-kHA/edit?usp=sharing"",""แผน!L80"")"),10)</f>
        <v>10</v>
      </c>
      <c r="J99" s="269">
        <f>J104</f>
        <v>10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22" t="s">
        <v>49</v>
      </c>
      <c r="I100" s="269">
        <f ca="1">IFERROR(__xludf.DUMMYFUNCTION("IMPORTRANGE(""https://docs.google.com/spreadsheets/d/1QqKyyYR6Q21VydFLVH3TRQUabQu_ym0Zz7PgGX0-kHA/edit?usp=sharing"",""แผน!M80"")"),2)</f>
        <v>2</v>
      </c>
      <c r="J100" s="269">
        <f>J107+J110</f>
        <v>2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22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5" t="s">
        <v>47</v>
      </c>
      <c r="F102" s="177"/>
      <c r="G102" s="178"/>
      <c r="H102" s="622" t="s">
        <v>46</v>
      </c>
      <c r="I102" s="269">
        <f ca="1">IFERROR(__xludf.DUMMYFUNCTION("IMPORTRANGE(""https://docs.google.com/spreadsheets/d/1QqKyyYR6Q21VydFLVH3TRQUabQu_ym0Zz7PgGX0-kHA/edit?usp=sharing"",""แผน!N80"")"),30)</f>
        <v>30</v>
      </c>
      <c r="J102" s="214">
        <v>30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7" t="s">
        <v>51</v>
      </c>
      <c r="F103" s="177"/>
      <c r="G103" s="178"/>
      <c r="H103" s="622" t="s">
        <v>35</v>
      </c>
      <c r="I103" s="269">
        <f ca="1">IFERROR(__xludf.DUMMYFUNCTION("IMPORTRANGE(""https://docs.google.com/spreadsheets/d/1QqKyyYR6Q21VydFLVH3TRQUabQu_ym0Zz7PgGX0-kHA/edit?usp=sharing"",""แผน!O80"")"),10)</f>
        <v>10</v>
      </c>
      <c r="J103" s="214">
        <v>10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22" t="s">
        <v>35</v>
      </c>
      <c r="I104" s="269">
        <f ca="1">IFERROR(__xludf.DUMMYFUNCTION("IMPORTRANGE(""https://docs.google.com/spreadsheets/d/1QqKyyYR6Q21VydFLVH3TRQUabQu_ym0Zz7PgGX0-kHA/edit?usp=sharing"",""แผน!O80"")"),10)</f>
        <v>10</v>
      </c>
      <c r="J104" s="214">
        <v>10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7" t="s">
        <v>54</v>
      </c>
      <c r="F106" s="177"/>
      <c r="G106" s="178"/>
      <c r="H106" s="622" t="s">
        <v>49</v>
      </c>
      <c r="I106" s="269">
        <f ca="1">IFERROR(__xludf.DUMMYFUNCTION("IMPORTRANGE(""https://docs.google.com/spreadsheets/d/1QqKyyYR6Q21VydFLVH3TRQUabQu_ym0Zz7PgGX0-kHA/edit?usp=sharing"",""แผน!P80"")"),1)</f>
        <v>1</v>
      </c>
      <c r="J106" s="21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22" t="s">
        <v>49</v>
      </c>
      <c r="I107" s="269">
        <f ca="1">IFERROR(__xludf.DUMMYFUNCTION("IMPORTRANGE(""https://docs.google.com/spreadsheets/d/1QqKyyYR6Q21VydFLVH3TRQUabQu_ym0Zz7PgGX0-kHA/edit?usp=sharing"",""แผน!P80"")"),1)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7" t="s">
        <v>57</v>
      </c>
      <c r="F109" s="177"/>
      <c r="G109" s="178"/>
      <c r="H109" s="622" t="s">
        <v>49</v>
      </c>
      <c r="I109" s="269">
        <f ca="1">IFERROR(__xludf.DUMMYFUNCTION("IMPORTRANGE(""https://docs.google.com/spreadsheets/d/1QqKyyYR6Q21VydFLVH3TRQUabQu_ym0Zz7PgGX0-kHA/edit?usp=sharing"",""แผน!Q80"")"),1)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22" t="s">
        <v>49</v>
      </c>
      <c r="I110" s="269">
        <f ca="1">IFERROR(__xludf.DUMMYFUNCTION("IMPORTRANGE(""https://docs.google.com/spreadsheets/d/1QqKyyYR6Q21VydFLVH3TRQUabQu_ym0Zz7PgGX0-kHA/edit?usp=sharing"",""แผน!Q80"")"),1)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6" t="s">
        <v>35</v>
      </c>
      <c r="I111" s="192">
        <f ca="1">IFERROR(__xludf.DUMMYFUNCTION("IMPORTRANGE(""https://docs.google.com/spreadsheets/d/1QqKyyYR6Q21VydFLVH3TRQUabQu_ym0Zz7PgGX0-kHA/edit?usp=sharing"",""แผน!R80"")"),10)</f>
        <v>10</v>
      </c>
      <c r="J111" s="680">
        <f>J114</f>
        <v>10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2</v>
      </c>
      <c r="J112" s="680">
        <f>J115+J116</f>
        <v>2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31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IFERROR(__xludf.DUMMYFUNCTION("IMPORTRANGE(""https://docs.google.com/spreadsheets/d/1QqKyyYR6Q21VydFLVH3TRQUabQu_ym0Zz7PgGX0-kHA/edit?usp=sharing"",""แผน!R80"")"),10)</f>
        <v>10</v>
      </c>
      <c r="J113" s="214">
        <v>10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7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IFERROR(__xludf.DUMMYFUNCTION("IMPORTRANGE(""https://docs.google.com/spreadsheets/d/1QqKyyYR6Q21VydFLVH3TRQUabQu_ym0Zz7PgGX0-kHA/edit?usp=sharing"",""แผน!R80"")"),10)</f>
        <v>10</v>
      </c>
      <c r="J114" s="214">
        <v>10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7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IFERROR(__xludf.DUMMYFUNCTION("IMPORTRANGE(""https://docs.google.com/spreadsheets/d/1QqKyyYR6Q21VydFLVH3TRQUabQu_ym0Zz7PgGX0-kHA/edit?usp=sharing"",""แผน!S80"")"),1)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7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IFERROR(__xludf.DUMMYFUNCTION("IMPORTRANGE(""https://docs.google.com/spreadsheets/d/1QqKyyYR6Q21VydFLVH3TRQUabQu_ym0Zz7PgGX0-kHA/edit?usp=sharing"",""แผน!T80"")"),1)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46" t="s">
        <v>17</v>
      </c>
      <c r="E119" s="147"/>
      <c r="F119" s="147"/>
      <c r="G119" s="150"/>
      <c r="H119" s="151" t="s">
        <v>12</v>
      </c>
      <c r="I119" s="420"/>
      <c r="J119" s="420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6"/>
      <c r="J120" s="616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6"/>
      <c r="J121" s="616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IFERROR(__xludf.DUMMYFUNCTION("IMPORTRANGE(""https://docs.google.com/spreadsheets/d/1MeEWN-I1oV_STSDYn1IFDPWt_1FKiwhDph83XaGc0o0/edit?usp=sharing"",""งบพรบ!BA80"")"),0)</f>
        <v>0</v>
      </c>
      <c r="M124" s="92">
        <f ca="1">IFERROR(__xludf.DUMMYFUNCTION("IMPORTRANGE(""https://docs.google.com/spreadsheets/d/1MeEWN-I1oV_STSDYn1IFDPWt_1FKiwhDph83XaGc0o0/edit?usp=sharing"",""งบพรบ!BF80"")"),0)</f>
        <v>0</v>
      </c>
      <c r="N124" s="92">
        <f ca="1">IFERROR(__xludf.DUMMYFUNCTION("IMPORTRANGE(""https://docs.google.com/spreadsheets/d/1MeEWN-I1oV_STSDYn1IFDPWt_1FKiwhDph83XaGc0o0/edit?usp=sharing"",""งบพรบ!BH80"")"),0)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IFERROR(__xludf.DUMMYFUNCTION("IMPORTRANGE(""https://docs.google.com/spreadsheets/d/1MeEWN-I1oV_STSDYn1IFDPWt_1FKiwhDph83XaGc0o0/edit?usp=sharing"",""งบพรบ!BD80"")"),0)</f>
        <v>0</v>
      </c>
      <c r="M127" s="92">
        <f ca="1">IFERROR(__xludf.DUMMYFUNCTION("IMPORTRANGE(""https://docs.google.com/spreadsheets/d/1MeEWN-I1oV_STSDYn1IFDPWt_1FKiwhDph83XaGc0o0/edit?usp=sharing"",""งบพรบ!BG80"")"),0)</f>
        <v>0</v>
      </c>
      <c r="N127" s="92">
        <f ca="1">IFERROR(__xludf.DUMMYFUNCTION("IMPORTRANGE(""https://docs.google.com/spreadsheets/d/1MeEWN-I1oV_STSDYn1IFDPWt_1FKiwhDph83XaGc0o0/edit?usp=sharing"",""งบพรบ!BI80"")"),0)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46" t="s">
        <v>17</v>
      </c>
      <c r="E132" s="147"/>
      <c r="F132" s="147"/>
      <c r="G132" s="150"/>
      <c r="H132" s="151" t="s">
        <v>12</v>
      </c>
      <c r="I132" s="420"/>
      <c r="J132" s="420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6"/>
      <c r="J133" s="616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6"/>
      <c r="J134" s="616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IFERROR(__xludf.DUMMYFUNCTION("IMPORTRANGE(""https://docs.google.com/spreadsheets/d/1MeEWN-I1oV_STSDYn1IFDPWt_1FKiwhDph83XaGc0o0/edit?usp=sharing"",""งบพรบ!BK80"")"),0)</f>
        <v>0</v>
      </c>
      <c r="M137" s="92">
        <f ca="1">IFERROR(__xludf.DUMMYFUNCTION("IMPORTRANGE(""https://docs.google.com/spreadsheets/d/1MeEWN-I1oV_STSDYn1IFDPWt_1FKiwhDph83XaGc0o0/edit?usp=sharing"",""งบพรบ!BP80"")"),0)</f>
        <v>0</v>
      </c>
      <c r="N137" s="92">
        <f ca="1">IFERROR(__xludf.DUMMYFUNCTION("IMPORTRANGE(""https://docs.google.com/spreadsheets/d/1MeEWN-I1oV_STSDYn1IFDPWt_1FKiwhDph83XaGc0o0/edit?usp=sharing"",""งบพรบ!BR80"")"),0)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IFERROR(__xludf.DUMMYFUNCTION("IMPORTRANGE(""https://docs.google.com/spreadsheets/d/1MeEWN-I1oV_STSDYn1IFDPWt_1FKiwhDph83XaGc0o0/edit?usp=sharing"",""งบพรบ!BN80"")"),0)</f>
        <v>0</v>
      </c>
      <c r="M140" s="92">
        <f ca="1">IFERROR(__xludf.DUMMYFUNCTION("IMPORTRANGE(""https://docs.google.com/spreadsheets/d/1MeEWN-I1oV_STSDYn1IFDPWt_1FKiwhDph83XaGc0o0/edit?usp=sharing"",""งบพรบ!BQ80"")"),0)</f>
        <v>0</v>
      </c>
      <c r="N140" s="92">
        <f ca="1">IFERROR(__xludf.DUMMYFUNCTION("IMPORTRANGE(""https://docs.google.com/spreadsheets/d/1MeEWN-I1oV_STSDYn1IFDPWt_1FKiwhDph83XaGc0o0/edit?usp=sharing"",""งบพรบ!BS80"")"),0)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4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IFERROR(__xludf.DUMMYFUNCTION("IMPORTRANGE(""https://docs.google.com/spreadsheets/d/1QqKyyYR6Q21VydFLVH3TRQUabQu_ym0Zz7PgGX0-kHA/edit?usp=sharing"",""แผน!U80"")"),0)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IFERROR(__xludf.DUMMYFUNCTION("IMPORTRANGE(""https://docs.google.com/spreadsheets/d/1QqKyyYR6Q21VydFLVH3TRQUabQu_ym0Zz7PgGX0-kHA/edit?usp=sharing"",""แผน!V80"")"),0)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IFERROR(__xludf.DUMMYFUNCTION("IMPORTRANGE(""https://docs.google.com/spreadsheets/d/1QqKyyYR6Q21VydFLVH3TRQUabQu_ym0Zz7PgGX0-kHA/edit?usp=sharing"",""แผน!W80"")"),0)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 hidden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 hidden="1">
      <c r="A148" s="216"/>
      <c r="B148" s="208" t="s">
        <v>77</v>
      </c>
      <c r="C148" s="208"/>
      <c r="D148" s="208"/>
      <c r="E148" s="859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6"/>
      <c r="B149" s="147"/>
      <c r="C149" s="148" t="s">
        <v>16</v>
      </c>
      <c r="D149" s="846" t="s">
        <v>17</v>
      </c>
      <c r="E149" s="147"/>
      <c r="F149" s="147"/>
      <c r="G149" s="150"/>
      <c r="H149" s="151" t="s">
        <v>12</v>
      </c>
      <c r="I149" s="420"/>
      <c r="J149" s="420"/>
      <c r="K149" s="153"/>
      <c r="L149" s="154">
        <f ca="1">L150+L151</f>
        <v>0</v>
      </c>
      <c r="M149" s="154">
        <f ca="1">M150+M151</f>
        <v>0</v>
      </c>
      <c r="N149" s="154">
        <f ca="1">N150+N151</f>
        <v>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6"/>
      <c r="J150" s="616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6"/>
      <c r="J151" s="616"/>
      <c r="K151" s="92"/>
      <c r="L151" s="92">
        <f t="shared" ca="1" si="37"/>
        <v>0</v>
      </c>
      <c r="M151" s="92">
        <f t="shared" ca="1" si="37"/>
        <v>0</v>
      </c>
      <c r="N151" s="92">
        <f t="shared" ca="1" si="37"/>
        <v>0</v>
      </c>
      <c r="O151" s="92">
        <f t="shared" ca="1" si="35"/>
        <v>0</v>
      </c>
      <c r="P151" s="92">
        <f t="shared" ca="1" si="36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0</v>
      </c>
      <c r="N152" s="497">
        <f ca="1">N153+N154</f>
        <v>0</v>
      </c>
      <c r="O152" s="497">
        <f t="shared" ca="1" si="35"/>
        <v>0</v>
      </c>
      <c r="P152" s="497">
        <f t="shared" ca="1" si="36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IFERROR(__xludf.DUMMYFUNCTION("IMPORTRANGE(""https://docs.google.com/spreadsheets/d/1MeEWN-I1oV_STSDYn1IFDPWt_1FKiwhDph83XaGc0o0/edit?usp=sharing"",""งบพรบ!BU80"")"),0)</f>
        <v>0</v>
      </c>
      <c r="M154" s="92">
        <f ca="1">IFERROR(__xludf.DUMMYFUNCTION("IMPORTRANGE(""https://docs.google.com/spreadsheets/d/1MeEWN-I1oV_STSDYn1IFDPWt_1FKiwhDph83XaGc0o0/edit?usp=sharing"",""งบพรบ!BZ80"")"),0)</f>
        <v>0</v>
      </c>
      <c r="N154" s="92">
        <f ca="1">IFERROR(__xludf.DUMMYFUNCTION("IMPORTRANGE(""https://docs.google.com/spreadsheets/d/1MeEWN-I1oV_STSDYn1IFDPWt_1FKiwhDph83XaGc0o0/edit?usp=sharing"",""งบพรบ!CB80"")"),0)</f>
        <v>0</v>
      </c>
      <c r="O154" s="92">
        <f t="shared" ca="1" si="35"/>
        <v>0</v>
      </c>
      <c r="P154" s="92">
        <f t="shared" ca="1" si="36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IFERROR(__xludf.DUMMYFUNCTION("IMPORTRANGE(""https://docs.google.com/spreadsheets/d/1MeEWN-I1oV_STSDYn1IFDPWt_1FKiwhDph83XaGc0o0/edit?usp=sharing"",""งบพรบ!BX80"")"),0)</f>
        <v>0</v>
      </c>
      <c r="M157" s="92">
        <f ca="1">IFERROR(__xludf.DUMMYFUNCTION("IMPORTRANGE(""https://docs.google.com/spreadsheets/d/1MeEWN-I1oV_STSDYn1IFDPWt_1FKiwhDph83XaGc0o0/edit?usp=sharing"",""งบพรบ!CA80"")"),0)</f>
        <v>0</v>
      </c>
      <c r="N157" s="92">
        <f ca="1">IFERROR(__xludf.DUMMYFUNCTION("IMPORTRANGE(""https://docs.google.com/spreadsheets/d/1MeEWN-I1oV_STSDYn1IFDPWt_1FKiwhDph83XaGc0o0/edit?usp=sharing"",""งบพรบ!CC80"")"),0)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4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IFERROR(__xludf.DUMMYFUNCTION("IMPORTRANGE(""https://docs.google.com/spreadsheets/d/1QqKyyYR6Q21VydFLVH3TRQUabQu_ym0Zz7PgGX0-kHA/edit?usp=sharing"",""แผน!X80"")"),0)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6"/>
      <c r="J160" s="616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58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10</v>
      </c>
      <c r="J164" s="252">
        <f>J174+J177</f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46" t="s">
        <v>17</v>
      </c>
      <c r="E165" s="147"/>
      <c r="F165" s="147"/>
      <c r="G165" s="150"/>
      <c r="H165" s="151" t="s">
        <v>12</v>
      </c>
      <c r="I165" s="420"/>
      <c r="J165" s="420"/>
      <c r="K165" s="153"/>
      <c r="L165" s="154">
        <f ca="1">L166+L167</f>
        <v>21050</v>
      </c>
      <c r="M165" s="154">
        <f ca="1">M166+M167</f>
        <v>79790</v>
      </c>
      <c r="N165" s="154">
        <f ca="1">N166+N167</f>
        <v>79790</v>
      </c>
      <c r="O165" s="154">
        <f t="shared" ref="O165:O173" ca="1" si="38">IF(L165&gt;0,N165*100/L165,0)</f>
        <v>379.04988123515437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6"/>
      <c r="J166" s="616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6"/>
      <c r="J167" s="616"/>
      <c r="K167" s="92"/>
      <c r="L167" s="92">
        <f t="shared" ca="1" si="40"/>
        <v>21050</v>
      </c>
      <c r="M167" s="92">
        <f t="shared" ca="1" si="40"/>
        <v>79790</v>
      </c>
      <c r="N167" s="92">
        <f t="shared" ca="1" si="40"/>
        <v>79790</v>
      </c>
      <c r="O167" s="92">
        <f t="shared" ca="1" si="38"/>
        <v>379.04988123515437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21050</v>
      </c>
      <c r="M168" s="497">
        <f ca="1">M169+M170</f>
        <v>79790</v>
      </c>
      <c r="N168" s="497">
        <f ca="1">N169+N170</f>
        <v>79790</v>
      </c>
      <c r="O168" s="497">
        <f t="shared" ca="1" si="38"/>
        <v>379.04988123515437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IFERROR(__xludf.DUMMYFUNCTION("IMPORTRANGE(""https://docs.google.com/spreadsheets/d/1MeEWN-I1oV_STSDYn1IFDPWt_1FKiwhDph83XaGc0o0/edit?usp=sharing"",""งบพรบ!CE80"")"),21050)</f>
        <v>21050</v>
      </c>
      <c r="M170" s="92">
        <f ca="1">IFERROR(__xludf.DUMMYFUNCTION("IMPORTRANGE(""https://docs.google.com/spreadsheets/d/1MeEWN-I1oV_STSDYn1IFDPWt_1FKiwhDph83XaGc0o0/edit?usp=sharing"",""งบพรบ!CJ80"")"),79790)</f>
        <v>79790</v>
      </c>
      <c r="N170" s="92">
        <f ca="1">IFERROR(__xludf.DUMMYFUNCTION("IMPORTRANGE(""https://docs.google.com/spreadsheets/d/1MeEWN-I1oV_STSDYn1IFDPWt_1FKiwhDph83XaGc0o0/edit?usp=sharing"",""งบพรบ!CL80"")"),79790)</f>
        <v>79790</v>
      </c>
      <c r="O170" s="92">
        <f t="shared" ca="1" si="38"/>
        <v>379.04988123515437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IFERROR(__xludf.DUMMYFUNCTION("IMPORTRANGE(""https://docs.google.com/spreadsheets/d/1MeEWN-I1oV_STSDYn1IFDPWt_1FKiwhDph83XaGc0o0/edit?usp=sharing"",""งบพรบ!CH80"")"),0)</f>
        <v>0</v>
      </c>
      <c r="M173" s="92">
        <f ca="1">IFERROR(__xludf.DUMMYFUNCTION("IMPORTRANGE(""https://docs.google.com/spreadsheets/d/1MeEWN-I1oV_STSDYn1IFDPWt_1FKiwhDph83XaGc0o0/edit?usp=sharing"",""งบพรบ!CK80"")"),0)</f>
        <v>0</v>
      </c>
      <c r="N173" s="92">
        <f ca="1">IFERROR(__xludf.DUMMYFUNCTION("IMPORTRANGE(""https://docs.google.com/spreadsheets/d/1MeEWN-I1oV_STSDYn1IFDPWt_1FKiwhDph83XaGc0o0/edit?usp=sharing"",""งบพรบ!CM80"")"),0)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10</v>
      </c>
      <c r="J174" s="260">
        <f>J176</f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47" t="s">
        <v>38</v>
      </c>
      <c r="E175" s="172"/>
      <c r="F175" s="172"/>
      <c r="G175" s="173"/>
      <c r="H175" s="761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5" t="s">
        <v>85</v>
      </c>
      <c r="E176" s="177"/>
      <c r="F176" s="177"/>
      <c r="G176" s="178"/>
      <c r="H176" s="622" t="s">
        <v>35</v>
      </c>
      <c r="I176" s="269">
        <f ca="1">IFERROR(__xludf.DUMMYFUNCTION("IMPORTRANGE(""https://docs.google.com/spreadsheets/d/1QqKyyYR6Q21VydFLVH3TRQUabQu_ym0Zz7PgGX0-kHA/edit?usp=sharing"",""แผน!Y80"")"),10)</f>
        <v>10</v>
      </c>
      <c r="J176" s="214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61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10</v>
      </c>
      <c r="J180" s="252">
        <f>J225+J226</f>
        <v>10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46" t="s">
        <v>17</v>
      </c>
      <c r="E181" s="147"/>
      <c r="F181" s="147"/>
      <c r="G181" s="150"/>
      <c r="H181" s="151" t="s">
        <v>12</v>
      </c>
      <c r="I181" s="420"/>
      <c r="J181" s="420"/>
      <c r="K181" s="153"/>
      <c r="L181" s="154">
        <f ca="1">L182+L183</f>
        <v>208400</v>
      </c>
      <c r="M181" s="154">
        <f ca="1">M182+M183</f>
        <v>208400</v>
      </c>
      <c r="N181" s="154">
        <f ca="1">N182+N183</f>
        <v>208400</v>
      </c>
      <c r="O181" s="154">
        <f t="shared" ref="O181:O189" ca="1" si="41">IF(L181&gt;0,N181*100/L181,0)</f>
        <v>100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6"/>
      <c r="J182" s="616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6"/>
      <c r="J183" s="616"/>
      <c r="K183" s="92"/>
      <c r="L183" s="92">
        <f t="shared" ca="1" si="43"/>
        <v>208400</v>
      </c>
      <c r="M183" s="92">
        <f t="shared" ca="1" si="43"/>
        <v>208400</v>
      </c>
      <c r="N183" s="92">
        <f t="shared" ca="1" si="43"/>
        <v>208400</v>
      </c>
      <c r="O183" s="92">
        <f t="shared" ca="1" si="41"/>
        <v>100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208400</v>
      </c>
      <c r="M184" s="497">
        <f ca="1">M185+M186</f>
        <v>208400</v>
      </c>
      <c r="N184" s="497">
        <f ca="1">N185+N186</f>
        <v>208400</v>
      </c>
      <c r="O184" s="497">
        <f t="shared" ca="1" si="41"/>
        <v>100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IFERROR(__xludf.DUMMYFUNCTION("IMPORTRANGE(""https://docs.google.com/spreadsheets/d/1MeEWN-I1oV_STSDYn1IFDPWt_1FKiwhDph83XaGc0o0/edit?usp=sharing"",""งบพรบ!CO80"")"),208400)</f>
        <v>208400</v>
      </c>
      <c r="M186" s="92">
        <f ca="1">IFERROR(__xludf.DUMMYFUNCTION("IMPORTRANGE(""https://docs.google.com/spreadsheets/d/1MeEWN-I1oV_STSDYn1IFDPWt_1FKiwhDph83XaGc0o0/edit?usp=sharing"",""งบพรบ!CT80"")"),208400)</f>
        <v>208400</v>
      </c>
      <c r="N186" s="92">
        <f ca="1">IFERROR(__xludf.DUMMYFUNCTION("IMPORTRANGE(""https://docs.google.com/spreadsheets/d/1MeEWN-I1oV_STSDYn1IFDPWt_1FKiwhDph83XaGc0o0/edit?usp=sharing"",""งบพรบ!CV80"")"),208400)</f>
        <v>208400</v>
      </c>
      <c r="O186" s="92">
        <f t="shared" ca="1" si="41"/>
        <v>100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IFERROR(__xludf.DUMMYFUNCTION("IMPORTRANGE(""https://docs.google.com/spreadsheets/d/1MeEWN-I1oV_STSDYn1IFDPWt_1FKiwhDph83XaGc0o0/edit?usp=sharing"",""งบพรบ!CR80"")"),0)</f>
        <v>0</v>
      </c>
      <c r="M189" s="92">
        <f ca="1">IFERROR(__xludf.DUMMYFUNCTION("IMPORTRANGE(""https://docs.google.com/spreadsheets/d/1MeEWN-I1oV_STSDYn1IFDPWt_1FKiwhDph83XaGc0o0/edit?usp=sharing"",""งบพรบ!CU80"")"),0)</f>
        <v>0</v>
      </c>
      <c r="N189" s="92">
        <f ca="1">IFERROR(__xludf.DUMMYFUNCTION("IMPORTRANGE(""https://docs.google.com/spreadsheets/d/1MeEWN-I1oV_STSDYn1IFDPWt_1FKiwhDph83XaGc0o0/edit?usp=sharing"",""งบพรบ!CW80"")"),0)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54" t="s">
        <v>17</v>
      </c>
      <c r="E191" s="147"/>
      <c r="F191" s="147"/>
      <c r="G191" s="150"/>
      <c r="H191" s="274" t="s">
        <v>12</v>
      </c>
      <c r="I191" s="420"/>
      <c r="J191" s="420"/>
      <c r="K191" s="153"/>
      <c r="L191" s="154">
        <f ca="1">IFERROR(__xludf.DUMMYFUNCTION("IMPORTRANGE(""https://docs.google.com/spreadsheets/d/1QqKyyYR6Q21VydFLVH3TRQUabQu_ym0Zz7PgGX0-kHA/edit?usp=sharing"",""แผน!Z80"")"),6000)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47" t="s">
        <v>38</v>
      </c>
      <c r="E192" s="172"/>
      <c r="F192" s="172"/>
      <c r="G192" s="173"/>
      <c r="H192" s="761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7" t="s">
        <v>91</v>
      </c>
      <c r="E193" s="177"/>
      <c r="F193" s="177"/>
      <c r="G193" s="178"/>
      <c r="H193" s="763" t="s">
        <v>90</v>
      </c>
      <c r="I193" s="269">
        <f ca="1">IFERROR(__xludf.DUMMYFUNCTION("IMPORTRANGE(""https://docs.google.com/spreadsheets/d/1QqKyyYR6Q21VydFLVH3TRQUabQu_ym0Zz7PgGX0-kHA/edit?usp=sharing"",""แผน!AC80"")"),4)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7" t="s">
        <v>92</v>
      </c>
      <c r="E194" s="177"/>
      <c r="F194" s="177"/>
      <c r="G194" s="178"/>
      <c r="H194" s="276" t="s">
        <v>35</v>
      </c>
      <c r="I194" s="269"/>
      <c r="J194" s="269">
        <f>J195+J196</f>
        <v>222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7" t="s">
        <v>93</v>
      </c>
      <c r="F195" s="177"/>
      <c r="G195" s="178"/>
      <c r="H195" s="276" t="s">
        <v>35</v>
      </c>
      <c r="I195" s="269"/>
      <c r="J195" s="214">
        <v>222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7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2</v>
      </c>
      <c r="J197" s="271">
        <f>J204</f>
        <v>2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54" t="s">
        <v>17</v>
      </c>
      <c r="E198" s="147"/>
      <c r="F198" s="147"/>
      <c r="G198" s="150"/>
      <c r="H198" s="274" t="s">
        <v>12</v>
      </c>
      <c r="I198" s="419"/>
      <c r="J198" s="419"/>
      <c r="K198" s="279"/>
      <c r="L198" s="154">
        <f ca="1">L199+L200+L201+L202</f>
        <v>26000</v>
      </c>
      <c r="M198" s="154"/>
      <c r="N198" s="154">
        <f>N199+N200+N201+N202</f>
        <v>26000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IFERROR(__xludf.DUMMYFUNCTION("IMPORTRANGE(""https://docs.google.com/spreadsheets/d/1QqKyyYR6Q21VydFLVH3TRQUabQu_ym0Zz7PgGX0-kHA/edit?usp=sharing"",""แผน!AE80"")"),2000)</f>
        <v>2000</v>
      </c>
      <c r="M199" s="497"/>
      <c r="N199" s="826">
        <v>2000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3"/>
      <c r="B200" s="280"/>
      <c r="C200" s="210"/>
      <c r="D200" s="281" t="s">
        <v>98</v>
      </c>
      <c r="E200" s="32"/>
      <c r="F200" s="32"/>
      <c r="G200" s="34"/>
      <c r="H200" s="622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IFERROR(__xludf.DUMMYFUNCTION("IMPORTRANGE(""https://docs.google.com/spreadsheets/d/1QqKyyYR6Q21VydFLVH3TRQUabQu_ym0Zz7PgGX0-kHA/edit?usp=sharing"",""แผน!AF80"")"),16000)</f>
        <v>16000</v>
      </c>
      <c r="M200" s="497"/>
      <c r="N200" s="826">
        <v>16000</v>
      </c>
      <c r="O200" s="497"/>
      <c r="P200" s="497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2"/>
      <c r="F201" s="32"/>
      <c r="G201" s="34"/>
      <c r="H201" s="622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IFERROR(__xludf.DUMMYFUNCTION("IMPORTRANGE(""https://docs.google.com/spreadsheets/d/1QqKyyYR6Q21VydFLVH3TRQUabQu_ym0Zz7PgGX0-kHA/edit?usp=sharing"",""แผน!AG80"")"),8000)</f>
        <v>8000</v>
      </c>
      <c r="M201" s="497"/>
      <c r="N201" s="826">
        <v>8000</v>
      </c>
      <c r="O201" s="497"/>
      <c r="P201" s="497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2"/>
      <c r="F202" s="32"/>
      <c r="G202" s="34"/>
      <c r="H202" s="622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IFERROR(__xludf.DUMMYFUNCTION("IMPORTRANGE(""https://docs.google.com/spreadsheets/d/1QqKyyYR6Q21VydFLVH3TRQUabQu_ym0Zz7PgGX0-kHA/edit?usp=sharing"",""แผน!AH80"")"),0)</f>
        <v>0</v>
      </c>
      <c r="M202" s="497"/>
      <c r="N202" s="826">
        <v>0</v>
      </c>
      <c r="O202" s="497"/>
      <c r="P202" s="497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69"/>
      <c r="B203" s="170"/>
      <c r="C203" s="210" t="s">
        <v>16</v>
      </c>
      <c r="D203" s="847" t="s">
        <v>38</v>
      </c>
      <c r="E203" s="172"/>
      <c r="F203" s="172"/>
      <c r="G203" s="173"/>
      <c r="H203" s="761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61" t="s">
        <v>96</v>
      </c>
      <c r="I204" s="269">
        <f ca="1">IFERROR(__xludf.DUMMYFUNCTION("IMPORTRANGE(""https://docs.google.com/spreadsheets/d/1QqKyyYR6Q21VydFLVH3TRQUabQu_ym0Zz7PgGX0-kHA/edit?usp=sharing"",""แผน!AI80"")"),2)</f>
        <v>2</v>
      </c>
      <c r="J204" s="214">
        <v>2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7" t="s">
        <v>59</v>
      </c>
      <c r="E205" s="177"/>
      <c r="F205" s="177"/>
      <c r="G205" s="178"/>
      <c r="H205" s="761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31" t="s">
        <v>102</v>
      </c>
      <c r="F206" s="286"/>
      <c r="G206" s="287"/>
      <c r="H206" s="288" t="s">
        <v>96</v>
      </c>
      <c r="I206" s="269">
        <v>2</v>
      </c>
      <c r="J206" s="214">
        <v>2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7"/>
      <c r="E207" s="447" t="s">
        <v>103</v>
      </c>
      <c r="F207" s="177"/>
      <c r="G207" s="177"/>
      <c r="H207" s="289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54" t="s">
        <v>17</v>
      </c>
      <c r="E209" s="147"/>
      <c r="F209" s="147"/>
      <c r="G209" s="150"/>
      <c r="H209" s="274" t="s">
        <v>12</v>
      </c>
      <c r="I209" s="419"/>
      <c r="J209" s="419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IFERROR(__xludf.DUMMYFUNCTION("IMPORTRANGE(""https://docs.google.com/spreadsheets/d/1QqKyyYR6Q21VydFLVH3TRQUabQu_ym0Zz7PgGX0-kHA/edit?usp=sharing"",""แผน!AK80"")"),0)</f>
        <v>0</v>
      </c>
      <c r="M210" s="497"/>
      <c r="N210" s="826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3"/>
      <c r="B211" s="280"/>
      <c r="C211" s="291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IFERROR(__xludf.DUMMYFUNCTION("IMPORTRANGE(""https://docs.google.com/spreadsheets/d/1QqKyyYR6Q21VydFLVH3TRQUabQu_ym0Zz7PgGX0-kHA/edit?usp=sharing"",""แผน!AL80"")"),0)</f>
        <v>0</v>
      </c>
      <c r="M211" s="497"/>
      <c r="N211" s="826">
        <v>0</v>
      </c>
      <c r="O211" s="497"/>
      <c r="P211" s="497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IFERROR(__xludf.DUMMYFUNCTION("IMPORTRANGE(""https://docs.google.com/spreadsheets/d/1QqKyyYR6Q21VydFLVH3TRQUabQu_ym0Zz7PgGX0-kHA/edit?usp=sharing"",""แผน!AM80"")"),0)</f>
        <v>0</v>
      </c>
      <c r="M212" s="497"/>
      <c r="N212" s="826">
        <v>0</v>
      </c>
      <c r="O212" s="497"/>
      <c r="P212" s="497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69"/>
      <c r="B213" s="170"/>
      <c r="C213" s="291" t="s">
        <v>16</v>
      </c>
      <c r="D213" s="847" t="s">
        <v>38</v>
      </c>
      <c r="E213" s="172"/>
      <c r="F213" s="172"/>
      <c r="G213" s="173"/>
      <c r="H213" s="761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61" t="s">
        <v>96</v>
      </c>
      <c r="I214" s="269">
        <f ca="1">IFERROR(__xludf.DUMMYFUNCTION("IMPORTRANGE(""https://docs.google.com/spreadsheets/d/1QqKyyYR6Q21VydFLVH3TRQUabQu_ym0Zz7PgGX0-kHA/edit?usp=sharing"",""แผน!AN80"")"),0)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61" t="s">
        <v>96</v>
      </c>
      <c r="I215" s="269">
        <f ca="1">IFERROR(__xludf.DUMMYFUNCTION("IMPORTRANGE(""https://docs.google.com/spreadsheets/d/1QqKyyYR6Q21VydFLVH3TRQUabQu_ym0Zz7PgGX0-kHA/edit?usp=sharing"",""แผน!AN80"")"),0)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ca="1">I224</f>
        <v>12800</v>
      </c>
      <c r="J216" s="271">
        <f>J224</f>
        <v>12800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54" t="s">
        <v>17</v>
      </c>
      <c r="E217" s="147"/>
      <c r="F217" s="147"/>
      <c r="G217" s="150"/>
      <c r="H217" s="274" t="s">
        <v>12</v>
      </c>
      <c r="I217" s="419"/>
      <c r="J217" s="419"/>
      <c r="K217" s="279"/>
      <c r="L217" s="154">
        <f ca="1">L218+L219+L220</f>
        <v>17100</v>
      </c>
      <c r="M217" s="154"/>
      <c r="N217" s="154">
        <f>N218+N219+N220</f>
        <v>17100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IFERROR(__xludf.DUMMYFUNCTION("IMPORTRANGE(""https://docs.google.com/spreadsheets/d/1QqKyyYR6Q21VydFLVH3TRQUabQu_ym0Zz7PgGX0-kHA/edit?usp=sharing"",""แผน!AP80"")"),3000)</f>
        <v>3000</v>
      </c>
      <c r="M218" s="497"/>
      <c r="N218" s="826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3"/>
      <c r="B219" s="280"/>
      <c r="C219" s="291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IFERROR(__xludf.DUMMYFUNCTION("IMPORTRANGE(""https://docs.google.com/spreadsheets/d/1QqKyyYR6Q21VydFLVH3TRQUabQu_ym0Zz7PgGX0-kHA/edit?usp=sharing"",""แผน!AQ80"")"),4100)</f>
        <v>4100</v>
      </c>
      <c r="M219" s="497"/>
      <c r="N219" s="826">
        <v>4100</v>
      </c>
      <c r="O219" s="497"/>
      <c r="P219" s="497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IFERROR(__xludf.DUMMYFUNCTION("IMPORTRANGE(""https://docs.google.com/spreadsheets/d/1QqKyyYR6Q21VydFLVH3TRQUabQu_ym0Zz7PgGX0-kHA/edit?usp=sharing"",""แผน!AR80"")"),10000)</f>
        <v>10000</v>
      </c>
      <c r="M220" s="497"/>
      <c r="N220" s="826">
        <v>10000</v>
      </c>
      <c r="O220" s="497"/>
      <c r="P220" s="497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69"/>
      <c r="B221" s="170"/>
      <c r="C221" s="291" t="s">
        <v>16</v>
      </c>
      <c r="D221" s="847" t="s">
        <v>38</v>
      </c>
      <c r="E221" s="172"/>
      <c r="F221" s="172"/>
      <c r="G221" s="173"/>
      <c r="H221" s="761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61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63" t="s">
        <v>109</v>
      </c>
      <c r="I223" s="269">
        <f ca="1">IFERROR(__xludf.DUMMYFUNCTION("IMPORTRANGE(""https://docs.google.com/spreadsheets/d/1QqKyyYR6Q21VydFLVH3TRQUabQu_ym0Zz7PgGX0-kHA/edit?usp=sharing"",""แผน!AT80"")"),12800)</f>
        <v>12800</v>
      </c>
      <c r="J223" s="214">
        <v>12800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63" t="s">
        <v>109</v>
      </c>
      <c r="I224" s="269">
        <f ca="1">IFERROR(__xludf.DUMMYFUNCTION("IMPORTRANGE(""https://docs.google.com/spreadsheets/d/1QqKyyYR6Q21VydFLVH3TRQUabQu_ym0Zz7PgGX0-kHA/edit?usp=sharing"",""แผน!AT80"")"),12800)</f>
        <v>12800</v>
      </c>
      <c r="J224" s="214">
        <v>12800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63" t="s">
        <v>35</v>
      </c>
      <c r="I225" s="269">
        <f ca="1">IFERROR(__xludf.DUMMYFUNCTION("IMPORTRANGE(""https://docs.google.com/spreadsheets/d/1QqKyyYR6Q21VydFLVH3TRQUabQu_ym0Zz7PgGX0-kHA/edit?usp=sharing"",""แผน!AS80"")"),10)</f>
        <v>10</v>
      </c>
      <c r="J225" s="214">
        <v>10</v>
      </c>
      <c r="K225" s="162">
        <f ca="1">IF(I225&gt;0,J225*100/I225,0)</f>
        <v>100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0</v>
      </c>
      <c r="J226" s="344">
        <f>J237+J248</f>
        <v>0</v>
      </c>
      <c r="K226" s="345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0</v>
      </c>
      <c r="M227" s="355"/>
      <c r="N227" s="355">
        <f>N238+N249</f>
        <v>0</v>
      </c>
      <c r="O227" s="855"/>
      <c r="P227" s="85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6"/>
      <c r="J229" s="616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6"/>
      <c r="J230" s="616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6"/>
      <c r="J231" s="616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6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6">
        <f ca="1">I244+I255</f>
        <v>0</v>
      </c>
      <c r="J233" s="616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6"/>
      <c r="J234" s="616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6">
        <f>I246+I257</f>
        <v>0</v>
      </c>
      <c r="J235" s="616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6">
        <f>I247+I258</f>
        <v>0</v>
      </c>
      <c r="J236" s="616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270" t="s">
        <v>332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46" t="s">
        <v>17</v>
      </c>
      <c r="E238" s="147"/>
      <c r="F238" s="147"/>
      <c r="G238" s="150"/>
      <c r="H238" s="274" t="s">
        <v>12</v>
      </c>
      <c r="I238" s="419"/>
      <c r="J238" s="419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IFERROR(__xludf.DUMMYFUNCTION("IMPORTRANGE(""https://docs.google.com/spreadsheets/d/1QqKyyYR6Q21VydFLVH3TRQUabQu_ym0Zz7PgGX0-kHA/edit?usp=sharing"",""แผน!AV80"")"),0)</f>
        <v>0</v>
      </c>
      <c r="M239" s="321"/>
      <c r="N239" s="853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IFERROR(__xludf.DUMMYFUNCTION("IMPORTRANGE(""https://docs.google.com/spreadsheets/d/1QqKyyYR6Q21VydFLVH3TRQUabQu_ym0Zz7PgGX0-kHA/edit?usp=sharing"",""แผน!AW80"")"),0)</f>
        <v>0</v>
      </c>
      <c r="M240" s="321"/>
      <c r="N240" s="853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IFERROR(__xludf.DUMMYFUNCTION("IMPORTRANGE(""https://docs.google.com/spreadsheets/d/1QqKyyYR6Q21VydFLVH3TRQUabQu_ym0Zz7PgGX0-kHA/edit?usp=sharing"",""แผน!AX80"")"),0)</f>
        <v>0</v>
      </c>
      <c r="M241" s="321"/>
      <c r="N241" s="853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IFERROR(__xludf.DUMMYFUNCTION("IMPORTRANGE(""https://docs.google.com/spreadsheets/d/1QqKyyYR6Q21VydFLVH3TRQUabQu_ym0Zz7PgGX0-kHA/edit?usp=sharing"",""แผน!AY80"")"),0)</f>
        <v>0</v>
      </c>
      <c r="M242" s="321"/>
      <c r="N242" s="853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1" t="s">
        <v>16</v>
      </c>
      <c r="D243" s="847" t="s">
        <v>38</v>
      </c>
      <c r="E243" s="172"/>
      <c r="F243" s="172"/>
      <c r="G243" s="173"/>
      <c r="H243" s="761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47" t="s">
        <v>117</v>
      </c>
      <c r="E244" s="177"/>
      <c r="F244" s="177"/>
      <c r="G244" s="178"/>
      <c r="H244" s="763" t="s">
        <v>35</v>
      </c>
      <c r="I244" s="269">
        <f ca="1">IFERROR(__xludf.DUMMYFUNCTION("IMPORTRANGE(""https://docs.google.com/spreadsheets/d/1QqKyyYR6Q21VydFLVH3TRQUabQu_ym0Zz7PgGX0-kHA/edit?usp=sharing"",""แผน!BE80"")"),0)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852" t="s">
        <v>43</v>
      </c>
      <c r="E245" s="177"/>
      <c r="F245" s="177"/>
      <c r="G245" s="178"/>
      <c r="H245" s="763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175" t="s">
        <v>118</v>
      </c>
      <c r="F246" s="177"/>
      <c r="G246" s="178"/>
      <c r="H246" s="763" t="s">
        <v>35</v>
      </c>
      <c r="I246" s="269"/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763" t="s">
        <v>66</v>
      </c>
      <c r="I247" s="269"/>
      <c r="J247" s="214">
        <v>0</v>
      </c>
      <c r="K247" s="497">
        <f>IF(I247&gt;0,J247*100/I247,0)</f>
        <v>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54" t="s">
        <v>17</v>
      </c>
      <c r="E249" s="147"/>
      <c r="F249" s="147"/>
      <c r="G249" s="150"/>
      <c r="H249" s="274" t="s">
        <v>12</v>
      </c>
      <c r="I249" s="419"/>
      <c r="J249" s="419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IFERROR(__xludf.DUMMYFUNCTION("IMPORTRANGE(""https://docs.google.com/spreadsheets/d/1QqKyyYR6Q21VydFLVH3TRQUabQu_ym0Zz7PgGX0-kHA/edit?usp=sharing"",""แผน!AZ80"")"),0)</f>
        <v>0</v>
      </c>
      <c r="M250" s="321"/>
      <c r="N250" s="853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IFERROR(__xludf.DUMMYFUNCTION("IMPORTRANGE(""https://docs.google.com/spreadsheets/d/1QqKyyYR6Q21VydFLVH3TRQUabQu_ym0Zz7PgGX0-kHA/edit?usp=sharing"",""แผน!BA80"")"),0)</f>
        <v>0</v>
      </c>
      <c r="M251" s="321"/>
      <c r="N251" s="853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IFERROR(__xludf.DUMMYFUNCTION("IMPORTRANGE(""https://docs.google.com/spreadsheets/d/1QqKyyYR6Q21VydFLVH3TRQUabQu_ym0Zz7PgGX0-kHA/edit?usp=sharing"",""แผน!BB80"")"),0)</f>
        <v>0</v>
      </c>
      <c r="M252" s="321"/>
      <c r="N252" s="853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IFERROR(__xludf.DUMMYFUNCTION("IMPORTRANGE(""https://docs.google.com/spreadsheets/d/1QqKyyYR6Q21VydFLVH3TRQUabQu_ym0Zz7PgGX0-kHA/edit?usp=sharing"",""แผน!BC80"")"),0)</f>
        <v>0</v>
      </c>
      <c r="M253" s="321"/>
      <c r="N253" s="853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1" t="s">
        <v>16</v>
      </c>
      <c r="D254" s="847" t="s">
        <v>38</v>
      </c>
      <c r="E254" s="172"/>
      <c r="F254" s="172"/>
      <c r="G254" s="173"/>
      <c r="H254" s="761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7" t="s">
        <v>117</v>
      </c>
      <c r="E255" s="177"/>
      <c r="F255" s="177"/>
      <c r="G255" s="178"/>
      <c r="H255" s="763" t="s">
        <v>35</v>
      </c>
      <c r="I255" s="269">
        <f ca="1">IFERROR(__xludf.DUMMYFUNCTION("IMPORTRANGE(""https://docs.google.com/spreadsheets/d/1QqKyyYR6Q21VydFLVH3TRQUabQu_ym0Zz7PgGX0-kHA/edit?usp=sharing"",""แผน!BF80"")"),0)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52" t="s">
        <v>43</v>
      </c>
      <c r="E256" s="177"/>
      <c r="F256" s="177"/>
      <c r="G256" s="178"/>
      <c r="H256" s="763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63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63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20</v>
      </c>
      <c r="J260" s="252">
        <f>J271</f>
        <v>20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46" t="s">
        <v>17</v>
      </c>
      <c r="E261" s="147"/>
      <c r="F261" s="147"/>
      <c r="G261" s="150"/>
      <c r="H261" s="151" t="s">
        <v>12</v>
      </c>
      <c r="I261" s="420"/>
      <c r="J261" s="420"/>
      <c r="K261" s="153"/>
      <c r="L261" s="154">
        <f ca="1">L262+L263</f>
        <v>25000</v>
      </c>
      <c r="M261" s="154">
        <f ca="1">M262+M263</f>
        <v>25000</v>
      </c>
      <c r="N261" s="154">
        <f ca="1">N262+N263</f>
        <v>25000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6"/>
      <c r="J262" s="616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6"/>
      <c r="J263" s="616"/>
      <c r="K263" s="92"/>
      <c r="L263" s="92">
        <f t="shared" ca="1" si="46"/>
        <v>25000</v>
      </c>
      <c r="M263" s="92">
        <f t="shared" ca="1" si="46"/>
        <v>25000</v>
      </c>
      <c r="N263" s="92">
        <f t="shared" ca="1" si="46"/>
        <v>25000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25000</v>
      </c>
      <c r="M264" s="497">
        <f ca="1">M265+M266</f>
        <v>25000</v>
      </c>
      <c r="N264" s="497">
        <f ca="1">N265+N266</f>
        <v>25000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IFERROR(__xludf.DUMMYFUNCTION("IMPORTRANGE(""https://docs.google.com/spreadsheets/d/1MeEWN-I1oV_STSDYn1IFDPWt_1FKiwhDph83XaGc0o0/edit?usp=sharing"",""งบพรบ!CY80"")"),25000)</f>
        <v>25000</v>
      </c>
      <c r="M266" s="92">
        <f ca="1">IFERROR(__xludf.DUMMYFUNCTION("IMPORTRANGE(""https://docs.google.com/spreadsheets/d/1MeEWN-I1oV_STSDYn1IFDPWt_1FKiwhDph83XaGc0o0/edit?usp=sharing"",""งบพรบ!DD80"")"),25000)</f>
        <v>25000</v>
      </c>
      <c r="N266" s="92">
        <f ca="1">IFERROR(__xludf.DUMMYFUNCTION("IMPORTRANGE(""https://docs.google.com/spreadsheets/d/1MeEWN-I1oV_STSDYn1IFDPWt_1FKiwhDph83XaGc0o0/edit?usp=sharing"",""งบพรบ!DF80"")"),25000)</f>
        <v>25000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IFERROR(__xludf.DUMMYFUNCTION("IMPORTRANGE(""https://docs.google.com/spreadsheets/d/1MeEWN-I1oV_STSDYn1IFDPWt_1FKiwhDph83XaGc0o0/edit?usp=sharing"",""งบพรบ!DB80"")"),0)</f>
        <v>0</v>
      </c>
      <c r="M269" s="92">
        <f ca="1">IFERROR(__xludf.DUMMYFUNCTION("IMPORTRANGE(""https://docs.google.com/spreadsheets/d/1MeEWN-I1oV_STSDYn1IFDPWt_1FKiwhDph83XaGc0o0/edit?usp=sharing"",""งบพรบ!DE80"")"),0)</f>
        <v>0</v>
      </c>
      <c r="N269" s="92">
        <f ca="1">IFERROR(__xludf.DUMMYFUNCTION("IMPORTRANGE(""https://docs.google.com/spreadsheets/d/1MeEWN-I1oV_STSDYn1IFDPWt_1FKiwhDph83XaGc0o0/edit?usp=sharing"",""งบพรบ!DG80"")"),0)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47" t="s">
        <v>38</v>
      </c>
      <c r="E270" s="172"/>
      <c r="F270" s="172"/>
      <c r="G270" s="173"/>
      <c r="H270" s="761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IFERROR(__xludf.DUMMYFUNCTION("IMPORTRANGE(""https://docs.google.com/spreadsheets/d/1QqKyyYR6Q21VydFLVH3TRQUabQu_ym0Zz7PgGX0-kHA/edit?usp=sharing"",""แผน!EA80"")"),20)</f>
        <v>20</v>
      </c>
      <c r="J271" s="214">
        <v>20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5">
        <v>0</v>
      </c>
      <c r="J272" s="505">
        <v>0</v>
      </c>
      <c r="K272" s="384">
        <v>0</v>
      </c>
      <c r="L272" s="384"/>
      <c r="M272" s="384"/>
      <c r="N272" s="384"/>
      <c r="O272" s="384"/>
      <c r="P272" s="384"/>
    </row>
    <row r="273" spans="1:26" ht="19.5" hidden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9">
        <f ca="1">I287</f>
        <v>0</v>
      </c>
      <c r="J276" s="409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46" t="s">
        <v>17</v>
      </c>
      <c r="E277" s="147"/>
      <c r="F277" s="147"/>
      <c r="G277" s="150"/>
      <c r="H277" s="151" t="s">
        <v>12</v>
      </c>
      <c r="I277" s="420"/>
      <c r="J277" s="420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6"/>
      <c r="J278" s="616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6"/>
      <c r="J279" s="616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IFERROR(__xludf.DUMMYFUNCTION("IMPORTRANGE(""https://docs.google.com/spreadsheets/d/1MeEWN-I1oV_STSDYn1IFDPWt_1FKiwhDph83XaGc0o0/edit?usp=sharing"",""งบพรบ!DI80"")"),0)</f>
        <v>0</v>
      </c>
      <c r="M282" s="92">
        <f ca="1">IFERROR(__xludf.DUMMYFUNCTION("IMPORTRANGE(""https://docs.google.com/spreadsheets/d/1MeEWN-I1oV_STSDYn1IFDPWt_1FKiwhDph83XaGc0o0/edit?usp=sharing"",""งบพรบ!DN80"")"),0)</f>
        <v>0</v>
      </c>
      <c r="N282" s="92">
        <f ca="1">IFERROR(__xludf.DUMMYFUNCTION("IMPORTRANGE(""https://docs.google.com/spreadsheets/d/1MeEWN-I1oV_STSDYn1IFDPWt_1FKiwhDph83XaGc0o0/edit?usp=sharing"",""งบพรบ!DP80"")"),0)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IFERROR(__xludf.DUMMYFUNCTION("IMPORTRANGE(""https://docs.google.com/spreadsheets/d/1MeEWN-I1oV_STSDYn1IFDPWt_1FKiwhDph83XaGc0o0/edit?usp=sharing"",""งบพรบ!DL80"")"),0)</f>
        <v>0</v>
      </c>
      <c r="M285" s="92">
        <f ca="1">IFERROR(__xludf.DUMMYFUNCTION("IMPORTRANGE(""https://docs.google.com/spreadsheets/d/1MeEWN-I1oV_STSDYn1IFDPWt_1FKiwhDph83XaGc0o0/edit?usp=sharing"",""งบพรบ!DO80"")"),0)</f>
        <v>0</v>
      </c>
      <c r="N285" s="92">
        <f ca="1">IFERROR(__xludf.DUMMYFUNCTION("IMPORTRANGE(""https://docs.google.com/spreadsheets/d/1MeEWN-I1oV_STSDYn1IFDPWt_1FKiwhDph83XaGc0o0/edit?usp=sharing"",""งบพรบ!DQ80"")"),0)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47" t="s">
        <v>38</v>
      </c>
      <c r="E286" s="172"/>
      <c r="F286" s="172"/>
      <c r="G286" s="173"/>
      <c r="H286" s="761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5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IFERROR(__xludf.DUMMYFUNCTION("IMPORTRANGE(""https://docs.google.com/spreadsheets/d/1QqKyyYR6Q21VydFLVH3TRQUabQu_ym0Zz7PgGX0-kHA/edit?usp=sharing"",""แผน!EC80"")"),0)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5" t="s">
        <v>130</v>
      </c>
      <c r="E288" s="170"/>
      <c r="F288" s="177"/>
      <c r="G288" s="178"/>
      <c r="H288" s="179" t="s">
        <v>35</v>
      </c>
      <c r="I288" s="680">
        <f ca="1">IFERROR(__xludf.DUMMYFUNCTION("IMPORTRANGE(""https://docs.google.com/spreadsheets/d/1QqKyyYR6Q21VydFLVH3TRQUabQu_ym0Zz7PgGX0-kHA/edit?usp=sharing"",""แผน!EB80"")"),0)</f>
        <v>0</v>
      </c>
      <c r="J288" s="680">
        <f ca="1">IF(AND(J291&gt;=I288,J294&gt;=I288),J294,0)</f>
        <v>0</v>
      </c>
      <c r="K288" s="411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2"/>
      <c r="E289" s="413" t="s">
        <v>131</v>
      </c>
      <c r="F289" s="177"/>
      <c r="G289" s="178"/>
      <c r="H289" s="763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2"/>
      <c r="E290" s="625" t="s">
        <v>132</v>
      </c>
      <c r="F290" s="177"/>
      <c r="G290" s="178"/>
      <c r="H290" s="763" t="s">
        <v>35</v>
      </c>
      <c r="I290" s="183">
        <f ca="1">IFERROR(__xludf.DUMMYFUNCTION("IMPORTRANGE(""https://docs.google.com/spreadsheets/d/1QqKyyYR6Q21VydFLVH3TRQUabQu_ym0Zz7PgGX0-kHA/edit?usp=sharing"",""แผน!EB80"")"),0)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5" t="s">
        <v>336</v>
      </c>
      <c r="F291" s="177"/>
      <c r="G291" s="178"/>
      <c r="H291" s="763" t="s">
        <v>35</v>
      </c>
      <c r="I291" s="183">
        <f ca="1">IFERROR(__xludf.DUMMYFUNCTION("IMPORTRANGE(""https://docs.google.com/spreadsheets/d/1QqKyyYR6Q21VydFLVH3TRQUabQu_ym0Zz7PgGX0-kHA/edit?usp=sharing"",""แผน!EB80"")"),0)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4"/>
      <c r="B292" s="415"/>
      <c r="C292" s="415"/>
      <c r="D292" s="416"/>
      <c r="E292" s="417" t="s">
        <v>134</v>
      </c>
      <c r="F292" s="286"/>
      <c r="G292" s="287"/>
      <c r="H292" s="418"/>
      <c r="I292" s="419"/>
      <c r="J292" s="420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2"/>
      <c r="E293" s="625" t="s">
        <v>132</v>
      </c>
      <c r="F293" s="177"/>
      <c r="G293" s="178"/>
      <c r="H293" s="763" t="s">
        <v>35</v>
      </c>
      <c r="I293" s="183">
        <f ca="1">IFERROR(__xludf.DUMMYFUNCTION("IMPORTRANGE(""https://docs.google.com/spreadsheets/d/1QqKyyYR6Q21VydFLVH3TRQUabQu_ym0Zz7PgGX0-kHA/edit?usp=sharing"",""แผน!EB80"")"),0)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33" t="s">
        <v>336</v>
      </c>
      <c r="F294" s="380"/>
      <c r="G294" s="381"/>
      <c r="H294" s="422" t="s">
        <v>35</v>
      </c>
      <c r="I294" s="423">
        <f ca="1">IFERROR(__xludf.DUMMYFUNCTION("IMPORTRANGE(""https://docs.google.com/spreadsheets/d/1QqKyyYR6Q21VydFLVH3TRQUabQu_ym0Zz7PgGX0-kHA/edit?usp=sharing"",""แผน!EB80"")"),0)</f>
        <v>0</v>
      </c>
      <c r="J294" s="424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0</v>
      </c>
      <c r="J297" s="444">
        <f>J309</f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6"/>
      <c r="B298" s="147"/>
      <c r="C298" s="148" t="s">
        <v>16</v>
      </c>
      <c r="D298" s="846" t="s">
        <v>17</v>
      </c>
      <c r="E298" s="147"/>
      <c r="F298" s="147"/>
      <c r="G298" s="150"/>
      <c r="H298" s="151" t="s">
        <v>12</v>
      </c>
      <c r="I298" s="420"/>
      <c r="J298" s="420"/>
      <c r="K298" s="153"/>
      <c r="L298" s="154">
        <f ca="1">L299+L300</f>
        <v>0</v>
      </c>
      <c r="M298" s="154">
        <f ca="1">M299+M300</f>
        <v>0</v>
      </c>
      <c r="N298" s="154">
        <f ca="1">N299+N300</f>
        <v>0</v>
      </c>
      <c r="O298" s="154">
        <f t="shared" ref="O298:O306" ca="1" si="50">IF(L298&gt;0,N298*100/L298,0)</f>
        <v>0</v>
      </c>
      <c r="P298" s="154">
        <f t="shared" ref="P298:P306" ca="1" si="51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6"/>
      <c r="J299" s="616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6"/>
      <c r="J300" s="616"/>
      <c r="K300" s="92"/>
      <c r="L300" s="92">
        <f t="shared" ca="1" si="52"/>
        <v>0</v>
      </c>
      <c r="M300" s="92">
        <f t="shared" ca="1" si="52"/>
        <v>0</v>
      </c>
      <c r="N300" s="92">
        <f t="shared" ca="1" si="52"/>
        <v>0</v>
      </c>
      <c r="O300" s="92">
        <f t="shared" ca="1" si="50"/>
        <v>0</v>
      </c>
      <c r="P300" s="92">
        <f t="shared" ca="1" si="51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0</v>
      </c>
      <c r="M301" s="497">
        <f ca="1">M302+M303</f>
        <v>0</v>
      </c>
      <c r="N301" s="497">
        <f ca="1">N302+N303</f>
        <v>0</v>
      </c>
      <c r="O301" s="497">
        <f t="shared" ca="1" si="50"/>
        <v>0</v>
      </c>
      <c r="P301" s="497">
        <f t="shared" ca="1" si="51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IFERROR(__xludf.DUMMYFUNCTION("IMPORTRANGE(""https://docs.google.com/spreadsheets/d/1MeEWN-I1oV_STSDYn1IFDPWt_1FKiwhDph83XaGc0o0/edit?usp=sharing"",""งบพรบ!DS80"")"),0)</f>
        <v>0</v>
      </c>
      <c r="M303" s="92">
        <f ca="1">IFERROR(__xludf.DUMMYFUNCTION("IMPORTRANGE(""https://docs.google.com/spreadsheets/d/1MeEWN-I1oV_STSDYn1IFDPWt_1FKiwhDph83XaGc0o0/edit?usp=sharing"",""งบพรบ!DX80"")"),0)</f>
        <v>0</v>
      </c>
      <c r="N303" s="92">
        <f ca="1">IFERROR(__xludf.DUMMYFUNCTION("IMPORTRANGE(""https://docs.google.com/spreadsheets/d/1MeEWN-I1oV_STSDYn1IFDPWt_1FKiwhDph83XaGc0o0/edit?usp=sharing"",""งบพรบ!DZ80"")"),0)</f>
        <v>0</v>
      </c>
      <c r="O303" s="92">
        <f t="shared" ca="1" si="50"/>
        <v>0</v>
      </c>
      <c r="P303" s="92">
        <f t="shared" ca="1" si="51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IFERROR(__xludf.DUMMYFUNCTION("IMPORTRANGE(""https://docs.google.com/spreadsheets/d/1MeEWN-I1oV_STSDYn1IFDPWt_1FKiwhDph83XaGc0o0/edit?usp=sharing"",""งบพรบ!DV80"")"),0)</f>
        <v>0</v>
      </c>
      <c r="M306" s="92">
        <f ca="1">IFERROR(__xludf.DUMMYFUNCTION("IMPORTRANGE(""https://docs.google.com/spreadsheets/d/1MeEWN-I1oV_STSDYn1IFDPWt_1FKiwhDph83XaGc0o0/edit?usp=sharing"",""งบพรบ!DY80"")"),0)</f>
        <v>0</v>
      </c>
      <c r="N306" s="92">
        <f ca="1">IFERROR(__xludf.DUMMYFUNCTION("IMPORTRANGE(""https://docs.google.com/spreadsheets/d/1MeEWN-I1oV_STSDYn1IFDPWt_1FKiwhDph83XaGc0o0/edit?usp=sharing"",""งบพรบ!EA80"")"),0)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47" t="s">
        <v>38</v>
      </c>
      <c r="E307" s="172"/>
      <c r="F307" s="172"/>
      <c r="G307" s="173"/>
      <c r="H307" s="761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69"/>
      <c r="B308" s="170"/>
      <c r="C308" s="170"/>
      <c r="D308" s="447" t="s">
        <v>140</v>
      </c>
      <c r="E308" s="447"/>
      <c r="F308" s="447"/>
      <c r="G308" s="178"/>
      <c r="H308" s="763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69"/>
      <c r="B309" s="170"/>
      <c r="C309" s="170"/>
      <c r="D309" s="447" t="s">
        <v>141</v>
      </c>
      <c r="E309" s="447"/>
      <c r="F309" s="447"/>
      <c r="G309" s="178"/>
      <c r="H309" s="763" t="s">
        <v>35</v>
      </c>
      <c r="I309" s="269">
        <f ca="1">IFERROR(__xludf.DUMMYFUNCTION("IMPORTRANGE(""https://docs.google.com/spreadsheets/d/1QqKyyYR6Q21VydFLVH3TRQUabQu_ym0Zz7PgGX0-kHA/edit?usp=sharing"",""แผน!ED80"")"),0)</f>
        <v>0</v>
      </c>
      <c r="J309" s="214">
        <v>0</v>
      </c>
      <c r="K309" s="497">
        <f ca="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69"/>
      <c r="B310" s="170"/>
      <c r="C310" s="170"/>
      <c r="D310" s="447" t="s">
        <v>142</v>
      </c>
      <c r="E310" s="447"/>
      <c r="F310" s="447"/>
      <c r="G310" s="178"/>
      <c r="H310" s="763" t="s">
        <v>35</v>
      </c>
      <c r="I310" s="269">
        <f ca="1">IFERROR(__xludf.DUMMYFUNCTION("IMPORTRANGE(""https://docs.google.com/spreadsheets/d/1QqKyyYR6Q21VydFLVH3TRQUabQu_ym0Zz7PgGX0-kHA/edit?usp=sharing"",""แผน!ED80"")"),0)</f>
        <v>0</v>
      </c>
      <c r="J310" s="214">
        <v>0</v>
      </c>
      <c r="K310" s="497">
        <f ca="1">IF(I310&gt;0,J310*100/I310,0)</f>
        <v>0</v>
      </c>
      <c r="L310" s="497"/>
      <c r="M310" s="497"/>
      <c r="N310" s="497"/>
      <c r="O310" s="497"/>
      <c r="P310" s="497"/>
    </row>
    <row r="311" spans="1:26" ht="18.75" hidden="1">
      <c r="A311" s="169"/>
      <c r="B311" s="170"/>
      <c r="C311" s="170"/>
      <c r="D311" s="447" t="s">
        <v>59</v>
      </c>
      <c r="E311" s="447"/>
      <c r="F311" s="447"/>
      <c r="G311" s="178"/>
      <c r="H311" s="763" t="s">
        <v>35</v>
      </c>
      <c r="I311" s="269">
        <f ca="1">IFERROR(__xludf.DUMMYFUNCTION("IMPORTRANGE(""https://docs.google.com/spreadsheets/d/1QqKyyYR6Q21VydFLVH3TRQUabQu_ym0Zz7PgGX0-kHA/edit?usp=sharing"",""แผน!ED80"")"),0)</f>
        <v>0</v>
      </c>
      <c r="J311" s="214">
        <v>0</v>
      </c>
      <c r="K311" s="497">
        <f ca="1">IF(I311&gt;0,J311*100/I311,0)</f>
        <v>0</v>
      </c>
      <c r="L311" s="497"/>
      <c r="M311" s="497"/>
      <c r="N311" s="497"/>
      <c r="O311" s="497"/>
      <c r="P311" s="497"/>
    </row>
    <row r="312" spans="1:26" ht="18.75" hidden="1">
      <c r="A312" s="169"/>
      <c r="B312" s="170"/>
      <c r="C312" s="170"/>
      <c r="D312" s="447" t="s">
        <v>143</v>
      </c>
      <c r="E312" s="447"/>
      <c r="F312" s="447"/>
      <c r="G312" s="178"/>
      <c r="H312" s="763" t="s">
        <v>35</v>
      </c>
      <c r="I312" s="269">
        <f ca="1">IFERROR(__xludf.DUMMYFUNCTION("IMPORTRANGE(""https://docs.google.com/spreadsheets/d/1QqKyyYR6Q21VydFLVH3TRQUabQu_ym0Zz7PgGX0-kHA/edit?usp=sharing"",""แผน!EE80"")"),0)</f>
        <v>0</v>
      </c>
      <c r="J312" s="214">
        <v>0</v>
      </c>
      <c r="K312" s="497">
        <f ca="1">IF(I312&gt;0,J312*100/I312,0)</f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0</v>
      </c>
      <c r="J314" s="444">
        <f>J325</f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6"/>
      <c r="B315" s="147"/>
      <c r="C315" s="148" t="s">
        <v>16</v>
      </c>
      <c r="D315" s="846" t="s">
        <v>17</v>
      </c>
      <c r="E315" s="147"/>
      <c r="F315" s="147"/>
      <c r="G315" s="150"/>
      <c r="H315" s="151" t="s">
        <v>12</v>
      </c>
      <c r="I315" s="420"/>
      <c r="J315" s="420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6"/>
      <c r="J316" s="616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6"/>
      <c r="J317" s="616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IFERROR(__xludf.DUMMYFUNCTION("IMPORTRANGE(""https://docs.google.com/spreadsheets/d/1MeEWN-I1oV_STSDYn1IFDPWt_1FKiwhDph83XaGc0o0/edit?usp=sharing"",""งบพรบ!EC80"")"),0)</f>
        <v>0</v>
      </c>
      <c r="M320" s="92">
        <f ca="1">IFERROR(__xludf.DUMMYFUNCTION("IMPORTRANGE(""https://docs.google.com/spreadsheets/d/1MeEWN-I1oV_STSDYn1IFDPWt_1FKiwhDph83XaGc0o0/edit?usp=sharing"",""งบพรบ!EH80"")"),0)</f>
        <v>0</v>
      </c>
      <c r="N320" s="92">
        <f ca="1">IFERROR(__xludf.DUMMYFUNCTION("IMPORTRANGE(""https://docs.google.com/spreadsheets/d/1MeEWN-I1oV_STSDYn1IFDPWt_1FKiwhDph83XaGc0o0/edit?usp=sharing"",""งบพรบ!EJ80"")"),0)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IFERROR(__xludf.DUMMYFUNCTION("IMPORTRANGE(""https://docs.google.com/spreadsheets/d/1MeEWN-I1oV_STSDYn1IFDPWt_1FKiwhDph83XaGc0o0/edit?usp=sharing"",""งบพรบ!EF80"")"),0)</f>
        <v>0</v>
      </c>
      <c r="M323" s="92">
        <f ca="1">IFERROR(__xludf.DUMMYFUNCTION("IMPORTRANGE(""https://docs.google.com/spreadsheets/d/1MeEWN-I1oV_STSDYn1IFDPWt_1FKiwhDph83XaGc0o0/edit?usp=sharing"",""งบพรบ!EI80"")"),0)</f>
        <v>0</v>
      </c>
      <c r="N323" s="92">
        <f ca="1">IFERROR(__xludf.DUMMYFUNCTION("IMPORTRANGE(""https://docs.google.com/spreadsheets/d/1MeEWN-I1oV_STSDYn1IFDPWt_1FKiwhDph83XaGc0o0/edit?usp=sharing"",""งบพรบ!EK80"")"),0)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47" t="s">
        <v>38</v>
      </c>
      <c r="E324" s="172"/>
      <c r="F324" s="172"/>
      <c r="G324" s="173"/>
      <c r="H324" s="761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7"/>
      <c r="G325" s="178"/>
      <c r="H325" s="622" t="s">
        <v>146</v>
      </c>
      <c r="I325" s="269">
        <f ca="1">IFERROR(__xludf.DUMMYFUNCTION("IMPORTRANGE(""https://docs.google.com/spreadsheets/d/1QqKyyYR6Q21VydFLVH3TRQUabQu_ym0Zz7PgGX0-kHA/edit?usp=sharing"",""แผน!EF80"")"),0)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IFERROR(__xludf.DUMMYFUNCTION("IMPORTRANGE(""https://docs.google.com/spreadsheets/d/1QqKyyYR6Q21VydFLVH3TRQUabQu_ym0Zz7PgGX0-kHA/edit?usp=sharing"",""แผน!EG80"")"),300)</f>
        <v>300</v>
      </c>
      <c r="J327" s="444">
        <f ca="1">J338+J341+J342+J343</f>
        <v>507</v>
      </c>
      <c r="K327" s="445">
        <f ca="1">IF(I327&gt;0,J327*100/I327,0)</f>
        <v>169</v>
      </c>
      <c r="L327" s="446"/>
      <c r="M327" s="446"/>
      <c r="N327" s="446"/>
      <c r="O327" s="446"/>
      <c r="P327" s="446"/>
    </row>
    <row r="328" spans="1:26" ht="19.5">
      <c r="A328" s="146"/>
      <c r="B328" s="147"/>
      <c r="C328" s="148" t="s">
        <v>16</v>
      </c>
      <c r="D328" s="846" t="s">
        <v>17</v>
      </c>
      <c r="E328" s="147"/>
      <c r="F328" s="147"/>
      <c r="G328" s="150"/>
      <c r="H328" s="151" t="s">
        <v>12</v>
      </c>
      <c r="I328" s="420"/>
      <c r="J328" s="420"/>
      <c r="K328" s="153"/>
      <c r="L328" s="154">
        <f ca="1">L329+L330</f>
        <v>157000</v>
      </c>
      <c r="M328" s="154">
        <f ca="1">M329+M330</f>
        <v>159500</v>
      </c>
      <c r="N328" s="154">
        <f ca="1">N329+N330</f>
        <v>159500</v>
      </c>
      <c r="O328" s="154">
        <f t="shared" ref="O328:O336" ca="1" si="56">IF(L328&gt;0,N328*100/L328,0)</f>
        <v>101.59235668789809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6"/>
      <c r="J329" s="616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6"/>
      <c r="J330" s="616"/>
      <c r="K330" s="92"/>
      <c r="L330" s="92">
        <f t="shared" ca="1" si="58"/>
        <v>157000</v>
      </c>
      <c r="M330" s="92">
        <f t="shared" ca="1" si="58"/>
        <v>159500</v>
      </c>
      <c r="N330" s="92">
        <f t="shared" ca="1" si="58"/>
        <v>159500</v>
      </c>
      <c r="O330" s="92">
        <f t="shared" ca="1" si="56"/>
        <v>101.59235668789809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157000</v>
      </c>
      <c r="M331" s="497">
        <f ca="1">M332+M333</f>
        <v>159500</v>
      </c>
      <c r="N331" s="497">
        <f ca="1">N332+N333</f>
        <v>159500</v>
      </c>
      <c r="O331" s="497">
        <f t="shared" ca="1" si="56"/>
        <v>101.59235668789809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IFERROR(__xludf.DUMMYFUNCTION("IMPORTRANGE(""https://docs.google.com/spreadsheets/d/1MeEWN-I1oV_STSDYn1IFDPWt_1FKiwhDph83XaGc0o0/edit?usp=sharing"",""งบพรบ!EM80"")"),157000)</f>
        <v>157000</v>
      </c>
      <c r="M333" s="92">
        <f ca="1">IFERROR(__xludf.DUMMYFUNCTION("IMPORTRANGE(""https://docs.google.com/spreadsheets/d/1MeEWN-I1oV_STSDYn1IFDPWt_1FKiwhDph83XaGc0o0/edit?usp=sharing"",""งบพรบ!ER80"")"),159500)</f>
        <v>159500</v>
      </c>
      <c r="N333" s="92">
        <f ca="1">IFERROR(__xludf.DUMMYFUNCTION("IMPORTRANGE(""https://docs.google.com/spreadsheets/d/1MeEWN-I1oV_STSDYn1IFDPWt_1FKiwhDph83XaGc0o0/edit?usp=sharing"",""งบพรบ!ET80"")"),159500)</f>
        <v>159500</v>
      </c>
      <c r="O333" s="92">
        <f t="shared" ca="1" si="56"/>
        <v>101.59235668789809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IFERROR(__xludf.DUMMYFUNCTION("IMPORTRANGE(""https://docs.google.com/spreadsheets/d/1MeEWN-I1oV_STSDYn1IFDPWt_1FKiwhDph83XaGc0o0/edit?usp=sharing"",""งบพรบ!EP80"")"),0)</f>
        <v>0</v>
      </c>
      <c r="M336" s="92">
        <f ca="1">IFERROR(__xludf.DUMMYFUNCTION("IMPORTRANGE(""https://docs.google.com/spreadsheets/d/1MeEWN-I1oV_STSDYn1IFDPWt_1FKiwhDph83XaGc0o0/edit?usp=sharing"",""งบพรบ!ES80"")"),0)</f>
        <v>0</v>
      </c>
      <c r="N336" s="92">
        <f ca="1">IFERROR(__xludf.DUMMYFUNCTION("IMPORTRANGE(""https://docs.google.com/spreadsheets/d/1MeEWN-I1oV_STSDYn1IFDPWt_1FKiwhDph83XaGc0o0/edit?usp=sharing"",""งบพรบ!EU80"")"),0)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4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61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3"/>
      <c r="B338" s="32"/>
      <c r="C338" s="280"/>
      <c r="D338" s="447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IFERROR(__xludf.DUMMYFUNCTION("IMPORTRANGE(""https://docs.google.com/spreadsheets/d/1QqKyyYR6Q21VydFLVH3TRQUabQu_ym0Zz7PgGX0-kHA/edit?usp=sharing"",""แผน!EG80"")"),300)</f>
        <v>300</v>
      </c>
      <c r="J338" s="269">
        <f ca="1">IFERROR(__xludf.DUMMYFUNCTION("IMPORTRANGE(""https://docs.google.com/spreadsheets/d/1kVcqe37tkHyjCSG3S0O1AXqVkqjo8mSIZil3BcpIysc/edit?usp=sharing"",""ศูนย์!D80"")"),428)</f>
        <v>428</v>
      </c>
      <c r="K338" s="497">
        <f ca="1">IF(I338&gt;0,J338*100/I338,0)</f>
        <v>142.66666666666666</v>
      </c>
      <c r="L338" s="497"/>
      <c r="M338" s="497"/>
      <c r="N338" s="497"/>
      <c r="O338" s="497"/>
      <c r="P338" s="497"/>
    </row>
    <row r="339" spans="1:26" ht="18.75">
      <c r="A339" s="283"/>
      <c r="B339" s="32"/>
      <c r="C339" s="280"/>
      <c r="D339" s="447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3"/>
      <c r="B340" s="32"/>
      <c r="C340" s="280"/>
      <c r="D340" s="177"/>
      <c r="E340" s="447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IFERROR(__xludf.DUMMYFUNCTION("IMPORTRANGE(""https://docs.google.com/spreadsheets/d/1QqKyyYR6Q21VydFLVH3TRQUabQu_ym0Zz7PgGX0-kHA/edit?usp=sharing"",""แผน!EH80"")"),2)</f>
        <v>2</v>
      </c>
      <c r="J340" s="269">
        <f ca="1">IFERROR(__xludf.DUMMYFUNCTION("IMPORTRANGE(""https://docs.google.com/spreadsheets/d/1kVcqe37tkHyjCSG3S0O1AXqVkqjo8mSIZil3BcpIysc/edit?usp=sharing"",""ศูนย์!E80"")"),2)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3"/>
      <c r="B341" s="32"/>
      <c r="C341" s="280"/>
      <c r="D341" s="177"/>
      <c r="E341" s="447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IFERROR(__xludf.DUMMYFUNCTION("IMPORTRANGE(""https://docs.google.com/spreadsheets/d/1kVcqe37tkHyjCSG3S0O1AXqVkqjo8mSIZil3BcpIysc/edit?usp=sharing"",""ศูนย์!F80"")"),69)</f>
        <v>69</v>
      </c>
      <c r="K341" s="497"/>
      <c r="L341" s="497"/>
      <c r="M341" s="497"/>
      <c r="N341" s="497"/>
      <c r="O341" s="497"/>
      <c r="P341" s="497"/>
    </row>
    <row r="342" spans="1:26" ht="18.75">
      <c r="A342" s="283"/>
      <c r="B342" s="32"/>
      <c r="C342" s="280"/>
      <c r="D342" s="447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IFERROR(__xludf.DUMMYFUNCTION("IMPORTRANGE(""https://docs.google.com/spreadsheets/d/1kVcqe37tkHyjCSG3S0O1AXqVkqjo8mSIZil3BcpIysc/edit?usp=sharing"",""ศูนย์!G80"")"),0)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3"/>
      <c r="B343" s="32"/>
      <c r="C343" s="280"/>
      <c r="D343" s="447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IFERROR(__xludf.DUMMYFUNCTION("IMPORTRANGE(""https://docs.google.com/spreadsheets/d/1kVcqe37tkHyjCSG3S0O1AXqVkqjo8mSIZil3BcpIysc/edit?usp=sharing"",""ศูนย์!H80"")"),10)</f>
        <v>10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6"/>
      <c r="B345" s="147"/>
      <c r="C345" s="148" t="s">
        <v>16</v>
      </c>
      <c r="D345" s="846" t="s">
        <v>17</v>
      </c>
      <c r="E345" s="147"/>
      <c r="F345" s="147"/>
      <c r="G345" s="150"/>
      <c r="H345" s="151" t="s">
        <v>12</v>
      </c>
      <c r="I345" s="420"/>
      <c r="J345" s="420"/>
      <c r="K345" s="153"/>
      <c r="L345" s="154">
        <f ca="1">L346+L347</f>
        <v>836060</v>
      </c>
      <c r="M345" s="154">
        <f ca="1">M346+M347</f>
        <v>896060</v>
      </c>
      <c r="N345" s="154">
        <f ca="1">N346+N347</f>
        <v>896059.28</v>
      </c>
      <c r="O345" s="154">
        <f t="shared" ref="O345:O353" ca="1" si="59">IF(L345&gt;0,N345*100/L345,0)</f>
        <v>107.17643231347033</v>
      </c>
      <c r="P345" s="154">
        <f t="shared" ref="P345:P353" ca="1" si="60">IF(M345&gt;0,N345*100/M345,0)</f>
        <v>99.999919648237835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6"/>
      <c r="J346" s="616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6"/>
      <c r="J347" s="616"/>
      <c r="K347" s="92"/>
      <c r="L347" s="92">
        <f t="shared" ca="1" si="61"/>
        <v>836060</v>
      </c>
      <c r="M347" s="92">
        <f t="shared" ca="1" si="61"/>
        <v>896060</v>
      </c>
      <c r="N347" s="92">
        <f t="shared" ca="1" si="61"/>
        <v>896059.28</v>
      </c>
      <c r="O347" s="92">
        <f t="shared" ca="1" si="59"/>
        <v>107.17643231347033</v>
      </c>
      <c r="P347" s="92">
        <f t="shared" ca="1" si="60"/>
        <v>99.999919648237835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760060</v>
      </c>
      <c r="M348" s="497">
        <f ca="1">M349+M350</f>
        <v>820060</v>
      </c>
      <c r="N348" s="497">
        <f ca="1">N349+N350</f>
        <v>820059.28</v>
      </c>
      <c r="O348" s="497">
        <f t="shared" ca="1" si="59"/>
        <v>107.89401889324527</v>
      </c>
      <c r="P348" s="497">
        <f t="shared" ca="1" si="60"/>
        <v>99.999912201546223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IFERROR(__xludf.DUMMYFUNCTION("IMPORTRANGE(""https://docs.google.com/spreadsheets/d/1MeEWN-I1oV_STSDYn1IFDPWt_1FKiwhDph83XaGc0o0/edit?usp=sharing"",""งบพรบ!EW80"")"),760060)</f>
        <v>760060</v>
      </c>
      <c r="M350" s="92">
        <f ca="1">IFERROR(__xludf.DUMMYFUNCTION("IMPORTRANGE(""https://docs.google.com/spreadsheets/d/1MeEWN-I1oV_STSDYn1IFDPWt_1FKiwhDph83XaGc0o0/edit?usp=sharing"",""งบพรบ!FB80"")"),820060)</f>
        <v>820060</v>
      </c>
      <c r="N350" s="92">
        <f ca="1">IFERROR(__xludf.DUMMYFUNCTION("IMPORTRANGE(""https://docs.google.com/spreadsheets/d/1MeEWN-I1oV_STSDYn1IFDPWt_1FKiwhDph83XaGc0o0/edit?usp=sharing"",""งบพรบ!FD80"")"),820059.28)</f>
        <v>820059.28</v>
      </c>
      <c r="O350" s="92">
        <f t="shared" ca="1" si="59"/>
        <v>107.89401889324527</v>
      </c>
      <c r="P350" s="92">
        <f t="shared" ca="1" si="60"/>
        <v>99.999912201546223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76000</v>
      </c>
      <c r="M351" s="497">
        <f ca="1">M352+M353</f>
        <v>76000</v>
      </c>
      <c r="N351" s="497">
        <f ca="1">N352+N353</f>
        <v>76000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IFERROR(__xludf.DUMMYFUNCTION("IMPORTRANGE(""https://docs.google.com/spreadsheets/d/1MeEWN-I1oV_STSDYn1IFDPWt_1FKiwhDph83XaGc0o0/edit?usp=sharing"",""งบพรบ!EZ80"")"),76000)</f>
        <v>76000</v>
      </c>
      <c r="M353" s="92">
        <f ca="1">IFERROR(__xludf.DUMMYFUNCTION("IMPORTRANGE(""https://docs.google.com/spreadsheets/d/1MeEWN-I1oV_STSDYn1IFDPWt_1FKiwhDph83XaGc0o0/edit?usp=sharing"",""งบพรบ!FC80"")"),76000)</f>
        <v>76000</v>
      </c>
      <c r="N353" s="92">
        <f ca="1">IFERROR(__xludf.DUMMYFUNCTION("IMPORTRANGE(""https://docs.google.com/spreadsheets/d/1MeEWN-I1oV_STSDYn1IFDPWt_1FKiwhDph83XaGc0o0/edit?usp=sharing"",""งบพรบ!FE80"")"),76000)</f>
        <v>76000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1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IFERROR(__xludf.DUMMYFUNCTION("IMPORTRANGE(""https://docs.google.com/spreadsheets/d/1QqKyyYR6Q21VydFLVH3TRQUabQu_ym0Zz7PgGX0-kHA/edit?usp=sharing"",""แผน!EP80"")"),84)</f>
        <v>84</v>
      </c>
      <c r="J355" s="464">
        <f ca="1">J362</f>
        <v>94</v>
      </c>
      <c r="K355" s="465">
        <f ca="1">IF(I355&gt;0,J355*100/I355,0)</f>
        <v>111.9047619047619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47" t="s">
        <v>38</v>
      </c>
      <c r="E357" s="172"/>
      <c r="F357" s="172"/>
      <c r="G357" s="173"/>
      <c r="H357" s="761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IFERROR(__xludf.DUMMYFUNCTION("IMPORTRANGE(""https://docs.google.com/spreadsheets/d/1XWAQStnk-4SwqDmLtmXYiTMKHgktTP8We1SCoS47DrQ/edit?usp=sharing"",""จัดที่ดิน!W80"")"),94)</f>
        <v>94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IFERROR(__xludf.DUMMYFUNCTION("IMPORTRANGE(""https://docs.google.com/spreadsheets/d/1QqKyyYR6Q21VydFLVH3TRQUabQu_ym0Zz7PgGX0-kHA/edit?usp=sharing"",""แผน!EO80"")"),400)</f>
        <v>400</v>
      </c>
      <c r="J359" s="269">
        <f ca="1">IFERROR(__xludf.DUMMYFUNCTION("IMPORTRANGE(""https://docs.google.com/spreadsheets/d/1XWAQStnk-4SwqDmLtmXYiTMKHgktTP8We1SCoS47DrQ/edit?usp=sharing"",""จัดที่ดิน!X80"")"),406.65)</f>
        <v>406.65</v>
      </c>
      <c r="K359" s="497">
        <f t="shared" ca="1" si="62"/>
        <v>101.66249999999999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63" t="s">
        <v>35</v>
      </c>
      <c r="I360" s="269">
        <f ca="1">IFERROR(__xludf.DUMMYFUNCTION("IMPORTRANGE(""https://docs.google.com/spreadsheets/d/1QqKyyYR6Q21VydFLVH3TRQUabQu_ym0Zz7PgGX0-kHA/edit?usp=sharing"",""แผน!EP80"")"),84)</f>
        <v>84</v>
      </c>
      <c r="J360" s="269">
        <f ca="1">IFERROR(__xludf.DUMMYFUNCTION("IMPORTRANGE(""https://docs.google.com/spreadsheets/d/1XWAQStnk-4SwqDmLtmXYiTMKHgktTP8We1SCoS47DrQ/edit?usp=sharing"",""จัดที่ดิน!Y80"")"),94)</f>
        <v>94</v>
      </c>
      <c r="K360" s="497">
        <f t="shared" ca="1" si="62"/>
        <v>111.9047619047619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63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IFERROR(__xludf.DUMMYFUNCTION("IMPORTRANGE(""https://docs.google.com/spreadsheets/d/1XWAQStnk-4SwqDmLtmXYiTMKHgktTP8We1SCoS47DrQ/edit?usp=sharing"",""จัดที่ดิน!Z80"")"),406.65)</f>
        <v>406.65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63" t="s">
        <v>35</v>
      </c>
      <c r="I362" s="269">
        <f ca="1">IFERROR(__xludf.DUMMYFUNCTION("IMPORTRANGE(""https://docs.google.com/spreadsheets/d/1QqKyyYR6Q21VydFLVH3TRQUabQu_ym0Zz7PgGX0-kHA/edit?usp=sharing"",""แผน!EP80"")"),84)</f>
        <v>84</v>
      </c>
      <c r="J362" s="269">
        <f ca="1">IFERROR(__xludf.DUMMYFUNCTION("IMPORTRANGE(""https://docs.google.com/spreadsheets/d/1XWAQStnk-4SwqDmLtmXYiTMKHgktTP8We1SCoS47DrQ/edit?usp=sharing"",""จัดที่ดิน!AA80"")"),94)</f>
        <v>94</v>
      </c>
      <c r="K362" s="497">
        <f t="shared" ca="1" si="62"/>
        <v>111.9047619047619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7"/>
      <c r="F363" s="177"/>
      <c r="G363" s="178"/>
      <c r="H363" s="763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IFERROR(__xludf.DUMMYFUNCTION("IMPORTRANGE(""https://docs.google.com/spreadsheets/d/1XWAQStnk-4SwqDmLtmXYiTMKHgktTP8We1SCoS47DrQ/edit?usp=sharing"",""จัดที่ดิน!AB80"")"),406.65)</f>
        <v>406.65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134</v>
      </c>
      <c r="J364" s="478">
        <f ca="1">J365+J374</f>
        <v>150</v>
      </c>
      <c r="K364" s="479">
        <f t="shared" ca="1" si="62"/>
        <v>111.94029850746269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IFERROR(__xludf.DUMMYFUNCTION("IMPORTRANGE(""https://docs.google.com/spreadsheets/d/1QqKyyYR6Q21VydFLVH3TRQUabQu_ym0Zz7PgGX0-kHA/edit?usp=sharing"",""แผน!EJ80"")"),30)</f>
        <v>30</v>
      </c>
      <c r="J365" s="490">
        <f ca="1">J372</f>
        <v>40</v>
      </c>
      <c r="K365" s="491">
        <f t="shared" ca="1" si="62"/>
        <v>133.33333333333334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47" t="s">
        <v>38</v>
      </c>
      <c r="E367" s="172"/>
      <c r="F367" s="172"/>
      <c r="G367" s="173"/>
      <c r="H367" s="761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IFERROR(__xludf.DUMMYFUNCTION("IMPORTRANGE(""https://docs.google.com/spreadsheets/d/1XWAQStnk-4SwqDmLtmXYiTMKHgktTP8We1SCoS47DrQ/edit?usp=sharing"",""จัดที่ดิน!E80"")"),41)</f>
        <v>41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IFERROR(__xludf.DUMMYFUNCTION("IMPORTRANGE(""https://docs.google.com/spreadsheets/d/1QqKyyYR6Q21VydFLVH3TRQUabQu_ym0Zz7PgGX0-kHA/edit?usp=sharing"",""แผน!EI80"")"),200)</f>
        <v>200</v>
      </c>
      <c r="J369" s="269">
        <f ca="1">IFERROR(__xludf.DUMMYFUNCTION("IMPORTRANGE(""https://docs.google.com/spreadsheets/d/1XWAQStnk-4SwqDmLtmXYiTMKHgktTP8We1SCoS47DrQ/edit?usp=sharing"",""จัดที่ดิน!F80"")"),203.85)</f>
        <v>203.85</v>
      </c>
      <c r="K369" s="497">
        <f t="shared" ca="1" si="63"/>
        <v>101.925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63" t="s">
        <v>35</v>
      </c>
      <c r="I370" s="269">
        <f ca="1">IFERROR(__xludf.DUMMYFUNCTION("IMPORTRANGE(""https://docs.google.com/spreadsheets/d/1QqKyyYR6Q21VydFLVH3TRQUabQu_ym0Zz7PgGX0-kHA/edit?usp=sharing"",""แผน!EJ80"")"),30)</f>
        <v>30</v>
      </c>
      <c r="J370" s="269">
        <f ca="1">IFERROR(__xludf.DUMMYFUNCTION("IMPORTRANGE(""https://docs.google.com/spreadsheets/d/1XWAQStnk-4SwqDmLtmXYiTMKHgktTP8We1SCoS47DrQ/edit?usp=sharing"",""จัดที่ดิน!G80"")"),41)</f>
        <v>41</v>
      </c>
      <c r="K370" s="497">
        <f t="shared" ca="1" si="63"/>
        <v>136.66666666666666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63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IFERROR(__xludf.DUMMYFUNCTION("IMPORTRANGE(""https://docs.google.com/spreadsheets/d/1XWAQStnk-4SwqDmLtmXYiTMKHgktTP8We1SCoS47DrQ/edit?usp=sharing"",""จัดที่ดิน!H80"")"),203.85)</f>
        <v>203.85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63" t="s">
        <v>35</v>
      </c>
      <c r="I372" s="269">
        <f ca="1">IFERROR(__xludf.DUMMYFUNCTION("IMPORTRANGE(""https://docs.google.com/spreadsheets/d/1QqKyyYR6Q21VydFLVH3TRQUabQu_ym0Zz7PgGX0-kHA/edit?usp=sharing"",""แผน!EJ80"")"),30)</f>
        <v>30</v>
      </c>
      <c r="J372" s="269">
        <f ca="1">IFERROR(__xludf.DUMMYFUNCTION("IMPORTRANGE(""https://docs.google.com/spreadsheets/d/1XWAQStnk-4SwqDmLtmXYiTMKHgktTP8We1SCoS47DrQ/edit?usp=sharing"",""จัดที่ดิน!I80"")"),40)</f>
        <v>40</v>
      </c>
      <c r="K372" s="497">
        <f t="shared" ca="1" si="63"/>
        <v>133.33333333333334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7"/>
      <c r="C373" s="170"/>
      <c r="D373" s="177"/>
      <c r="E373" s="447"/>
      <c r="F373" s="177"/>
      <c r="G373" s="178"/>
      <c r="H373" s="763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IFERROR(__xludf.DUMMYFUNCTION("IMPORTRANGE(""https://docs.google.com/spreadsheets/d/1XWAQStnk-4SwqDmLtmXYiTMKHgktTP8We1SCoS47DrQ/edit?usp=sharing"",""จัดที่ดิน!J80"")"),201.59)</f>
        <v>201.59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IFERROR(__xludf.DUMMYFUNCTION("IMPORTRANGE(""https://docs.google.com/spreadsheets/d/1QqKyyYR6Q21VydFLVH3TRQUabQu_ym0Zz7PgGX0-kHA/edit?usp=sharing"",""แผน!EU80"")"),104)</f>
        <v>104</v>
      </c>
      <c r="J374" s="490">
        <f ca="1">J381</f>
        <v>110</v>
      </c>
      <c r="K374" s="491">
        <f t="shared" ca="1" si="63"/>
        <v>105.76923076923077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47" t="s">
        <v>38</v>
      </c>
      <c r="E376" s="172"/>
      <c r="F376" s="172"/>
      <c r="G376" s="173"/>
      <c r="H376" s="761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IFERROR(__xludf.DUMMYFUNCTION("IMPORTRANGE(""https://docs.google.com/spreadsheets/d/1XWAQStnk-4SwqDmLtmXYiTMKHgktTP8We1SCoS47DrQ/edit?usp=sharing"",""จัดที่ดิน!AH80"")"),53)</f>
        <v>53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IFERROR(__xludf.DUMMYFUNCTION("IMPORTRANGE(""https://docs.google.com/spreadsheets/d/1QqKyyYR6Q21VydFLVH3TRQUabQu_ym0Zz7PgGX0-kHA/edit?usp=sharing"",""แผน!ET80"")"),200)</f>
        <v>200</v>
      </c>
      <c r="J378" s="269">
        <f ca="1">IFERROR(__xludf.DUMMYFUNCTION("IMPORTRANGE(""https://docs.google.com/spreadsheets/d/1XWAQStnk-4SwqDmLtmXYiTMKHgktTP8We1SCoS47DrQ/edit?usp=sharing"",""จัดที่ดิน!AI80"")"),202.8)</f>
        <v>202.8</v>
      </c>
      <c r="K378" s="497">
        <f t="shared" ca="1" si="64"/>
        <v>101.4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63" t="s">
        <v>35</v>
      </c>
      <c r="I379" s="269">
        <f ca="1">IFERROR(__xludf.DUMMYFUNCTION("IMPORTRANGE(""https://docs.google.com/spreadsheets/d/1QqKyyYR6Q21VydFLVH3TRQUabQu_ym0Zz7PgGX0-kHA/edit?usp=sharing"",""แผน!EU80"")"),104)</f>
        <v>104</v>
      </c>
      <c r="J379" s="269">
        <f ca="1">IFERROR(__xludf.DUMMYFUNCTION("IMPORTRANGE(""https://docs.google.com/spreadsheets/d/1XWAQStnk-4SwqDmLtmXYiTMKHgktTP8We1SCoS47DrQ/edit?usp=sharing"",""จัดที่ดิน!AJ80"")"),109)</f>
        <v>109</v>
      </c>
      <c r="K379" s="497">
        <f t="shared" ca="1" si="64"/>
        <v>104.80769230769231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63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IFERROR(__xludf.DUMMYFUNCTION("IMPORTRANGE(""https://docs.google.com/spreadsheets/d/1XWAQStnk-4SwqDmLtmXYiTMKHgktTP8We1SCoS47DrQ/edit?usp=sharing"",""จัดที่ดิน!AK80"")"),511.97)</f>
        <v>511.97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63" t="s">
        <v>35</v>
      </c>
      <c r="I381" s="269">
        <f ca="1">IFERROR(__xludf.DUMMYFUNCTION("IMPORTRANGE(""https://docs.google.com/spreadsheets/d/1QqKyyYR6Q21VydFLVH3TRQUabQu_ym0Zz7PgGX0-kHA/edit?usp=sharing"",""แผน!EU80"")"),104)</f>
        <v>104</v>
      </c>
      <c r="J381" s="269">
        <f ca="1">IFERROR(__xludf.DUMMYFUNCTION("IMPORTRANGE(""https://docs.google.com/spreadsheets/d/1XWAQStnk-4SwqDmLtmXYiTMKHgktTP8We1SCoS47DrQ/edit?usp=sharing"",""จัดที่ดิน!AL80"")"),110)</f>
        <v>110</v>
      </c>
      <c r="K381" s="497">
        <f t="shared" ca="1" si="64"/>
        <v>105.76923076923077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7"/>
      <c r="C382" s="170"/>
      <c r="D382" s="177"/>
      <c r="E382" s="447"/>
      <c r="F382" s="177"/>
      <c r="G382" s="178"/>
      <c r="H382" s="763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IFERROR(__xludf.DUMMYFUNCTION("IMPORTRANGE(""https://docs.google.com/spreadsheets/d/1XWAQStnk-4SwqDmLtmXYiTMKHgktTP8We1SCoS47DrQ/edit?usp=sharing"",""จัดที่ดิน!AM80"")"),514.23)</f>
        <v>514.23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498"/>
      <c r="B383" s="499"/>
      <c r="C383" s="290"/>
      <c r="D383" s="849" t="s">
        <v>169</v>
      </c>
      <c r="E383" s="290"/>
      <c r="F383" s="290"/>
      <c r="G383" s="501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4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761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503" t="s">
        <v>170</v>
      </c>
      <c r="F385" s="380"/>
      <c r="G385" s="381"/>
      <c r="H385" s="504" t="s">
        <v>35</v>
      </c>
      <c r="I385" s="505">
        <f ca="1">IFERROR(__xludf.DUMMYFUNCTION("IMPORTRANGE(""https://docs.google.com/spreadsheets/d/1QqKyyYR6Q21VydFLVH3TRQUabQu_ym0Zz7PgGX0-kHA/edit?usp=sharing"",""แผน!EW80"")"),0)</f>
        <v>0</v>
      </c>
      <c r="J385" s="505">
        <f ca="1">IFERROR(__xludf.DUMMYFUNCTION("IMPORTRANGE(""https://docs.google.com/spreadsheets/d/1XWAQStnk-4SwqDmLtmXYiTMKHgktTP8We1SCoS47DrQ/edit?usp=sharing"",""จัดที่ดิน!AP80"")"),0)</f>
        <v>0</v>
      </c>
      <c r="K385" s="506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7" t="s">
        <v>171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172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173</v>
      </c>
      <c r="C388" s="522"/>
      <c r="D388" s="523"/>
      <c r="E388" s="523"/>
      <c r="F388" s="523"/>
      <c r="G388" s="524"/>
      <c r="H388" s="525" t="s">
        <v>66</v>
      </c>
      <c r="I388" s="526">
        <f>I400</f>
        <v>0</v>
      </c>
      <c r="J388" s="526">
        <f>J400</f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6"/>
      <c r="B389" s="147"/>
      <c r="C389" s="148" t="s">
        <v>16</v>
      </c>
      <c r="D389" s="846" t="s">
        <v>17</v>
      </c>
      <c r="E389" s="147"/>
      <c r="F389" s="147"/>
      <c r="G389" s="150"/>
      <c r="H389" s="151" t="s">
        <v>12</v>
      </c>
      <c r="I389" s="420"/>
      <c r="J389" s="420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6"/>
      <c r="J390" s="616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6"/>
      <c r="J391" s="616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IFERROR(__xludf.DUMMYFUNCTION("IMPORTRANGE(""https://docs.google.com/spreadsheets/d/1MeEWN-I1oV_STSDYn1IFDPWt_1FKiwhDph83XaGc0o0/edit?usp=sharing"",""งบพรบ!FG80"")"),0)</f>
        <v>0</v>
      </c>
      <c r="M394" s="92">
        <f ca="1">IFERROR(__xludf.DUMMYFUNCTION("IMPORTRANGE(""https://docs.google.com/spreadsheets/d/1MeEWN-I1oV_STSDYn1IFDPWt_1FKiwhDph83XaGc0o0/edit?usp=sharing"",""งบพรบ!FL80"")"),0)</f>
        <v>0</v>
      </c>
      <c r="N394" s="92">
        <f ca="1">IFERROR(__xludf.DUMMYFUNCTION("IMPORTRANGE(""https://docs.google.com/spreadsheets/d/1MeEWN-I1oV_STSDYn1IFDPWt_1FKiwhDph83XaGc0o0/edit?usp=sharing"",""งบพรบ!FN80"")"),0)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IFERROR(__xludf.DUMMYFUNCTION("IMPORTRANGE(""https://docs.google.com/spreadsheets/d/1MeEWN-I1oV_STSDYn1IFDPWt_1FKiwhDph83XaGc0o0/edit?usp=sharing"",""งบพรบ!FJ80"")"),0)</f>
        <v>0</v>
      </c>
      <c r="M397" s="92">
        <f ca="1">IFERROR(__xludf.DUMMYFUNCTION("IMPORTRANGE(""https://docs.google.com/spreadsheets/d/1MeEWN-I1oV_STSDYn1IFDPWt_1FKiwhDph83XaGc0o0/edit?usp=sharing"",""งบพรบ!FM80"")"),0)</f>
        <v>0</v>
      </c>
      <c r="N397" s="92">
        <f ca="1">IFERROR(__xludf.DUMMYFUNCTION("IMPORTRANGE(""https://docs.google.com/spreadsheets/d/1MeEWN-I1oV_STSDYn1IFDPWt_1FKiwhDph83XaGc0o0/edit?usp=sharing"",""งบพรบ!FO80"")"),0)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47" t="s">
        <v>38</v>
      </c>
      <c r="E398" s="172"/>
      <c r="F398" s="172"/>
      <c r="G398" s="173"/>
      <c r="H398" s="761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9"/>
      <c r="B399" s="147"/>
      <c r="C399" s="530"/>
      <c r="D399" s="531" t="s">
        <v>174</v>
      </c>
      <c r="E399" s="415"/>
      <c r="F399" s="147"/>
      <c r="G399" s="150"/>
      <c r="H399" s="532" t="s">
        <v>9</v>
      </c>
      <c r="I399" s="269">
        <v>0</v>
      </c>
      <c r="J399" s="214">
        <v>0</v>
      </c>
      <c r="K399" s="497">
        <f>IF(I399&gt;0,J399*100/I399,0)</f>
        <v>0</v>
      </c>
      <c r="L399" s="533"/>
      <c r="M399" s="533"/>
      <c r="N399" s="533"/>
      <c r="O399" s="533"/>
      <c r="P399" s="533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3"/>
      <c r="B400" s="32"/>
      <c r="C400" s="280"/>
      <c r="D400" s="447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20"/>
      <c r="B401" s="521" t="s">
        <v>176</v>
      </c>
      <c r="C401" s="522"/>
      <c r="D401" s="523"/>
      <c r="E401" s="523"/>
      <c r="F401" s="523"/>
      <c r="G401" s="524"/>
      <c r="H401" s="525" t="s">
        <v>66</v>
      </c>
      <c r="I401" s="526">
        <f>I412</f>
        <v>0</v>
      </c>
      <c r="J401" s="526">
        <f>J412</f>
        <v>0</v>
      </c>
      <c r="K401" s="527">
        <f>IF(I401&gt;0,J401*100/I401,0)</f>
        <v>0</v>
      </c>
      <c r="L401" s="528"/>
      <c r="M401" s="528"/>
      <c r="N401" s="528"/>
      <c r="O401" s="528"/>
      <c r="P401" s="528"/>
    </row>
    <row r="402" spans="1:26" ht="19.5" hidden="1">
      <c r="A402" s="146"/>
      <c r="B402" s="147"/>
      <c r="C402" s="148" t="s">
        <v>16</v>
      </c>
      <c r="D402" s="846" t="s">
        <v>17</v>
      </c>
      <c r="E402" s="147"/>
      <c r="F402" s="147"/>
      <c r="G402" s="150"/>
      <c r="H402" s="151" t="s">
        <v>12</v>
      </c>
      <c r="I402" s="420"/>
      <c r="J402" s="420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6"/>
      <c r="J403" s="616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6"/>
      <c r="J404" s="616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IFERROR(__xludf.DUMMYFUNCTION("IMPORTRANGE(""https://docs.google.com/spreadsheets/d/1MeEWN-I1oV_STSDYn1IFDPWt_1FKiwhDph83XaGc0o0/edit?usp=sharing"",""งบพรบ!FQ80"")"),0)</f>
        <v>0</v>
      </c>
      <c r="M407" s="92">
        <f ca="1">IFERROR(__xludf.DUMMYFUNCTION("IMPORTRANGE(""https://docs.google.com/spreadsheets/d/1MeEWN-I1oV_STSDYn1IFDPWt_1FKiwhDph83XaGc0o0/edit?usp=sharing"",""งบพรบ!FV80"")"),0)</f>
        <v>0</v>
      </c>
      <c r="N407" s="92">
        <f ca="1">IFERROR(__xludf.DUMMYFUNCTION("IMPORTRANGE(""https://docs.google.com/spreadsheets/d/1MeEWN-I1oV_STSDYn1IFDPWt_1FKiwhDph83XaGc0o0/edit?usp=sharing"",""งบพรบ!FX80"")"),0)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IFERROR(__xludf.DUMMYFUNCTION("IMPORTRANGE(""https://docs.google.com/spreadsheets/d/1MeEWN-I1oV_STSDYn1IFDPWt_1FKiwhDph83XaGc0o0/edit?usp=sharing"",""งบพรบ!FT80"")"),0)</f>
        <v>0</v>
      </c>
      <c r="M410" s="92">
        <f ca="1">IFERROR(__xludf.DUMMYFUNCTION("IMPORTRANGE(""https://docs.google.com/spreadsheets/d/1MeEWN-I1oV_STSDYn1IFDPWt_1FKiwhDph83XaGc0o0/edit?usp=sharing"",""งบพรบ!FW80"")"),0)</f>
        <v>0</v>
      </c>
      <c r="N410" s="92">
        <f ca="1">IFERROR(__xludf.DUMMYFUNCTION("IMPORTRANGE(""https://docs.google.com/spreadsheets/d/1MeEWN-I1oV_STSDYn1IFDPWt_1FKiwhDph83XaGc0o0/edit?usp=sharing"",""งบพรบ!FY80"")"),0)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45" t="s">
        <v>38</v>
      </c>
      <c r="E411" s="535"/>
      <c r="F411" s="535"/>
      <c r="G411" s="536"/>
      <c r="H411" s="761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7" t="s">
        <v>177</v>
      </c>
      <c r="E412" s="177"/>
      <c r="F412" s="177"/>
      <c r="G412" s="178"/>
      <c r="H412" s="537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8"/>
      <c r="B413" s="539"/>
      <c r="C413" s="539"/>
      <c r="D413" s="540" t="s">
        <v>178</v>
      </c>
      <c r="E413" s="539"/>
      <c r="F413" s="539"/>
      <c r="G413" s="541"/>
      <c r="H413" s="542" t="s">
        <v>179</v>
      </c>
      <c r="I413" s="543">
        <v>0</v>
      </c>
      <c r="J413" s="544">
        <v>0</v>
      </c>
      <c r="K413" s="545">
        <f>IF(I413&gt;0,J413*100/I413,0)</f>
        <v>0</v>
      </c>
      <c r="L413" s="546"/>
      <c r="M413" s="546"/>
      <c r="N413" s="546"/>
      <c r="O413" s="546"/>
      <c r="P413" s="546"/>
    </row>
    <row r="414" spans="1:26" ht="19.5">
      <c r="A414" s="547" t="s">
        <v>180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ca="1">L419+L444+L467+L502+L523+L544+L629+L655+L685+L737+L754+L770+L786+L805</f>
        <v>568281</v>
      </c>
      <c r="M414" s="553">
        <f ca="1">M419+M444+M467+M502+M523+M544+M629+M655+M685+M737+M754+M770+M786+M805</f>
        <v>525907</v>
      </c>
      <c r="N414" s="553">
        <f>N419+N444+N467+N502+N523+N544+N629+N655+N685+N737+N754+N770+N786+N805</f>
        <v>525907</v>
      </c>
      <c r="O414" s="553">
        <f ca="1">IF(L414&gt;0,N414*100/L414,0)</f>
        <v>92.543477610548308</v>
      </c>
      <c r="P414" s="553">
        <f ca="1">IF(M414&gt;0,N414*100/M414,0)</f>
        <v>100</v>
      </c>
    </row>
    <row r="415" spans="1:26" ht="19.5">
      <c r="A415" s="554" t="s">
        <v>181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182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183</v>
      </c>
      <c r="C417" s="565"/>
      <c r="D417" s="566"/>
      <c r="E417" s="566"/>
      <c r="F417" s="566"/>
      <c r="G417" s="567"/>
      <c r="H417" s="568" t="s">
        <v>35</v>
      </c>
      <c r="I417" s="569">
        <f ca="1">I433</f>
        <v>15</v>
      </c>
      <c r="J417" s="569">
        <f ca="1">J433</f>
        <v>15</v>
      </c>
      <c r="K417" s="570">
        <f ca="1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ca="1">I434</f>
        <v>1</v>
      </c>
      <c r="J418" s="569">
        <f>J434</f>
        <v>1</v>
      </c>
      <c r="K418" s="570">
        <f ca="1">IF(I418&gt;0,J418*100/I418,0)</f>
        <v>100</v>
      </c>
      <c r="L418" s="571"/>
      <c r="M418" s="571"/>
      <c r="N418" s="571"/>
      <c r="O418" s="571"/>
      <c r="P418" s="571"/>
    </row>
    <row r="419" spans="1:26" ht="19.5">
      <c r="A419" s="146"/>
      <c r="B419" s="147"/>
      <c r="C419" s="147" t="s">
        <v>16</v>
      </c>
      <c r="D419" s="910" t="s">
        <v>17</v>
      </c>
      <c r="E419" s="890"/>
      <c r="F419" s="890"/>
      <c r="G419" s="150"/>
      <c r="H419" s="274" t="s">
        <v>12</v>
      </c>
      <c r="I419" s="420"/>
      <c r="J419" s="420"/>
      <c r="K419" s="153"/>
      <c r="L419" s="154">
        <f ca="1">L420+L421</f>
        <v>66560</v>
      </c>
      <c r="M419" s="154">
        <f ca="1">M420+M421</f>
        <v>71560</v>
      </c>
      <c r="N419" s="154">
        <f>N420+N421</f>
        <v>71560</v>
      </c>
      <c r="O419" s="154">
        <f t="shared" ref="O419:O424" ca="1" si="71">IF(L419&gt;0,N419*100/L419,0)</f>
        <v>107.51201923076923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6"/>
      <c r="J420" s="616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6"/>
      <c r="J421" s="616"/>
      <c r="K421" s="92"/>
      <c r="L421" s="92">
        <f t="shared" ca="1" si="73"/>
        <v>66560</v>
      </c>
      <c r="M421" s="92">
        <f t="shared" ca="1" si="73"/>
        <v>71560</v>
      </c>
      <c r="N421" s="92">
        <f t="shared" si="73"/>
        <v>71560</v>
      </c>
      <c r="O421" s="92">
        <f t="shared" ca="1" si="71"/>
        <v>107.51201923076923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66560</v>
      </c>
      <c r="M422" s="497">
        <f ca="1">M423+M424</f>
        <v>71560</v>
      </c>
      <c r="N422" s="497">
        <f>N423+N424</f>
        <v>71560</v>
      </c>
      <c r="O422" s="497">
        <f t="shared" ca="1" si="71"/>
        <v>107.51201923076923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6"/>
      <c r="J423" s="616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6"/>
      <c r="J424" s="616"/>
      <c r="K424" s="92"/>
      <c r="L424" s="92">
        <f ca="1">IFERROR(__xludf.DUMMYFUNCTION("IMPORTRANGE(""https://docs.google.com/spreadsheets/d/1QqKyyYR6Q21VydFLVH3TRQUabQu_ym0Zz7PgGX0-kHA/edit?usp=sharing"",""แผน!EY80"")"),66560)</f>
        <v>66560</v>
      </c>
      <c r="M424" s="92">
        <f ca="1">L424+5000</f>
        <v>71560</v>
      </c>
      <c r="N424" s="92">
        <f>N425+N426+N427+N428</f>
        <v>71560</v>
      </c>
      <c r="O424" s="92">
        <f t="shared" ca="1" si="71"/>
        <v>107.51201923076923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73"/>
      <c r="B425" s="574"/>
      <c r="C425" s="762"/>
      <c r="D425" s="762"/>
      <c r="E425" s="762"/>
      <c r="F425" s="762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826">
        <v>41300</v>
      </c>
      <c r="O425" s="497"/>
      <c r="P425" s="497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826">
        <v>0</v>
      </c>
      <c r="O426" s="497"/>
      <c r="P426" s="497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826">
        <v>0</v>
      </c>
      <c r="O427" s="497"/>
      <c r="P427" s="497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3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826">
        <v>30260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IFERROR(__xludf.DUMMYFUNCTION("IMPORTRANGE(""https://docs.google.com/spreadsheets/d/1QqKyyYR6Q21VydFLVH3TRQUabQu_ym0Zz7PgGX0-kHA/edit?usp=sharing"",""แผน!FB80"")"),0)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4"/>
      <c r="B432" s="415"/>
      <c r="C432" s="147" t="s">
        <v>16</v>
      </c>
      <c r="D432" s="844" t="s">
        <v>38</v>
      </c>
      <c r="E432" s="579"/>
      <c r="F432" s="579"/>
      <c r="G432" s="580"/>
      <c r="H432" s="581"/>
      <c r="I432" s="420"/>
      <c r="J432" s="420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80">
        <f ca="1">I438+I440</f>
        <v>1</v>
      </c>
      <c r="J434" s="680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7" t="s">
        <v>192</v>
      </c>
      <c r="E435" s="177"/>
      <c r="F435" s="177"/>
      <c r="G435" s="178"/>
      <c r="H435" s="622" t="s">
        <v>35</v>
      </c>
      <c r="I435" s="582">
        <f ca="1">IFERROR(__xludf.DUMMYFUNCTION("IMPORTRANGE(""https://docs.google.com/spreadsheets/d/1QqKyyYR6Q21VydFLVH3TRQUabQu_ym0Zz7PgGX0-kHA/edit?usp=sharing"",""แผน!FC80"")"),15)</f>
        <v>15</v>
      </c>
      <c r="J435" s="583">
        <v>15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7" t="s">
        <v>193</v>
      </c>
      <c r="E436" s="177"/>
      <c r="F436" s="177"/>
      <c r="G436" s="178"/>
      <c r="H436" s="622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7" t="s">
        <v>194</v>
      </c>
      <c r="E437" s="177"/>
      <c r="F437" s="177"/>
      <c r="G437" s="178"/>
      <c r="H437" s="622" t="s">
        <v>35</v>
      </c>
      <c r="I437" s="582">
        <f ca="1">IFERROR(__xludf.DUMMYFUNCTION("IMPORTRANGE(""https://docs.google.com/spreadsheets/d/1QqKyyYR6Q21VydFLVH3TRQUabQu_ym0Zz7PgGX0-kHA/edit?usp=sharing"",""แผน!FD80"")"),0)</f>
        <v>0</v>
      </c>
      <c r="J437" s="583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7" t="s">
        <v>195</v>
      </c>
      <c r="E438" s="177"/>
      <c r="F438" s="177"/>
      <c r="G438" s="178"/>
      <c r="H438" s="622" t="s">
        <v>49</v>
      </c>
      <c r="I438" s="269">
        <f ca="1">IFERROR(__xludf.DUMMYFUNCTION("IMPORTRANGE(""https://docs.google.com/spreadsheets/d/1QqKyyYR6Q21VydFLVH3TRQUabQu_ym0Zz7PgGX0-kHA/edit?usp=sharing"",""แผน!FE80"")"),0)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7" t="s">
        <v>196</v>
      </c>
      <c r="E439" s="177"/>
      <c r="F439" s="177"/>
      <c r="G439" s="178"/>
      <c r="H439" s="622" t="s">
        <v>35</v>
      </c>
      <c r="I439" s="582">
        <f ca="1">IFERROR(__xludf.DUMMYFUNCTION("IMPORTRANGE(""https://docs.google.com/spreadsheets/d/1QqKyyYR6Q21VydFLVH3TRQUabQu_ym0Zz7PgGX0-kHA/edit?usp=sharing"",""แผน!FF80"")"),15)</f>
        <v>15</v>
      </c>
      <c r="J439" s="583">
        <v>15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7" t="s">
        <v>197</v>
      </c>
      <c r="E440" s="177"/>
      <c r="F440" s="177"/>
      <c r="G440" s="178"/>
      <c r="H440" s="622" t="s">
        <v>49</v>
      </c>
      <c r="I440" s="269">
        <f ca="1">IFERROR(__xludf.DUMMYFUNCTION("IMPORTRANGE(""https://docs.google.com/spreadsheets/d/1QqKyyYR6Q21VydFLVH3TRQUabQu_ym0Zz7PgGX0-kHA/edit?usp=sharing"",""แผน!FG80"")"),1)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7" t="s">
        <v>198</v>
      </c>
      <c r="E441" s="177"/>
      <c r="F441" s="177"/>
      <c r="G441" s="178"/>
      <c r="H441" s="622" t="s">
        <v>35</v>
      </c>
      <c r="I441" s="269">
        <f ca="1">IFERROR(__xludf.DUMMYFUNCTION("IMPORTRANGE(""https://docs.google.com/spreadsheets/d/1QqKyyYR6Q21VydFLVH3TRQUabQu_ym0Zz7PgGX0-kHA/edit?usp=sharing"",""แผน!FH80"")"),0)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84">
        <v>2</v>
      </c>
      <c r="B442" s="585" t="s">
        <v>199</v>
      </c>
      <c r="C442" s="586"/>
      <c r="D442" s="586"/>
      <c r="E442" s="586"/>
      <c r="F442" s="586"/>
      <c r="G442" s="587"/>
      <c r="H442" s="588" t="s">
        <v>35</v>
      </c>
      <c r="I442" s="589">
        <f ca="1">I460</f>
        <v>10</v>
      </c>
      <c r="J442" s="589">
        <f>J460</f>
        <v>10</v>
      </c>
      <c r="K442" s="590">
        <f t="shared" ca="1" si="7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ca="1">I462</f>
        <v>20</v>
      </c>
      <c r="J443" s="569">
        <f>J462</f>
        <v>20</v>
      </c>
      <c r="K443" s="570">
        <f t="shared" ca="1" si="7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87" t="s">
        <v>17</v>
      </c>
      <c r="E444" s="888"/>
      <c r="F444" s="888"/>
      <c r="G444" s="188"/>
      <c r="H444" s="597" t="s">
        <v>12</v>
      </c>
      <c r="I444" s="269"/>
      <c r="J444" s="269"/>
      <c r="K444" s="497"/>
      <c r="L444" s="194">
        <f ca="1">L445+L446</f>
        <v>69160</v>
      </c>
      <c r="M444" s="194">
        <f ca="1">M445+M446</f>
        <v>84160</v>
      </c>
      <c r="N444" s="194">
        <f>N445+N446</f>
        <v>84160</v>
      </c>
      <c r="O444" s="194">
        <f t="shared" ref="O444:O449" ca="1" si="75">IF(L444&gt;0,N444*100/L444,0)</f>
        <v>121.68883747831116</v>
      </c>
      <c r="P444" s="194">
        <f t="shared" ref="P444:P449" ca="1" si="76">IF(M444&gt;0,N444*100/M444,0)</f>
        <v>100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184</v>
      </c>
      <c r="F445" s="758"/>
      <c r="G445" s="602"/>
      <c r="H445" s="164" t="s">
        <v>12</v>
      </c>
      <c r="I445" s="616"/>
      <c r="J445" s="616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185</v>
      </c>
      <c r="F446" s="758"/>
      <c r="G446" s="602"/>
      <c r="H446" s="164" t="s">
        <v>12</v>
      </c>
      <c r="I446" s="616"/>
      <c r="J446" s="616"/>
      <c r="K446" s="92"/>
      <c r="L446" s="92">
        <f t="shared" ca="1" si="77"/>
        <v>69160</v>
      </c>
      <c r="M446" s="92">
        <f t="shared" ca="1" si="77"/>
        <v>84160</v>
      </c>
      <c r="N446" s="92">
        <f t="shared" si="77"/>
        <v>84160</v>
      </c>
      <c r="O446" s="92">
        <f t="shared" ca="1" si="75"/>
        <v>121.68883747831116</v>
      </c>
      <c r="P446" s="92">
        <f t="shared" ca="1" si="76"/>
        <v>100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8"/>
      <c r="H447" s="160" t="s">
        <v>12</v>
      </c>
      <c r="I447" s="183"/>
      <c r="J447" s="183"/>
      <c r="K447" s="162"/>
      <c r="L447" s="497">
        <f ca="1">L448+L449</f>
        <v>69160</v>
      </c>
      <c r="M447" s="497">
        <f ca="1">M448+M449</f>
        <v>84160</v>
      </c>
      <c r="N447" s="497">
        <f>N448+N449</f>
        <v>84160</v>
      </c>
      <c r="O447" s="497">
        <f t="shared" ca="1" si="75"/>
        <v>121.68883747831116</v>
      </c>
      <c r="P447" s="497">
        <f t="shared" ca="1" si="76"/>
        <v>100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184</v>
      </c>
      <c r="F448" s="758"/>
      <c r="G448" s="602"/>
      <c r="H448" s="164" t="s">
        <v>12</v>
      </c>
      <c r="I448" s="616"/>
      <c r="J448" s="616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185</v>
      </c>
      <c r="F449" s="758"/>
      <c r="G449" s="602"/>
      <c r="H449" s="164" t="s">
        <v>12</v>
      </c>
      <c r="I449" s="616"/>
      <c r="J449" s="616"/>
      <c r="K449" s="92"/>
      <c r="L449" s="92">
        <f ca="1">IFERROR(__xludf.DUMMYFUNCTION("IMPORTRANGE(""https://docs.google.com/spreadsheets/d/1QqKyyYR6Q21VydFLVH3TRQUabQu_ym0Zz7PgGX0-kHA/edit?usp=sharing"",""แผน!FJ80"")"),69160)</f>
        <v>69160</v>
      </c>
      <c r="M449" s="92">
        <f ca="1">L449+15000</f>
        <v>84160</v>
      </c>
      <c r="N449" s="92">
        <f>N450+N451+N452+N453</f>
        <v>84160</v>
      </c>
      <c r="O449" s="92">
        <f t="shared" ca="1" si="75"/>
        <v>121.68883747831116</v>
      </c>
      <c r="P449" s="92">
        <f t="shared" ca="1" si="76"/>
        <v>100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826">
        <v>17200</v>
      </c>
      <c r="O450" s="497"/>
      <c r="P450" s="497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826">
        <v>26000</v>
      </c>
      <c r="O451" s="497"/>
      <c r="P451" s="497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826">
        <v>0</v>
      </c>
      <c r="O452" s="497"/>
      <c r="P452" s="497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826">
        <v>40960</v>
      </c>
      <c r="O453" s="497"/>
      <c r="P453" s="497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IFERROR(__xludf.DUMMYFUNCTION("IMPORTRANGE(""https://docs.google.com/spreadsheets/d/1QqKyyYR6Q21VydFLVH3TRQUabQu_ym0Zz7PgGX0-kHA/edit?usp=sharing"",""แผน!FM80"")"),0)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40" t="s">
        <v>38</v>
      </c>
      <c r="E457" s="610"/>
      <c r="F457" s="760"/>
      <c r="G457" s="612"/>
      <c r="H457" s="761"/>
      <c r="I457" s="269"/>
      <c r="J457" s="269"/>
      <c r="K457" s="497"/>
      <c r="L457" s="497"/>
      <c r="M457" s="497"/>
      <c r="N457" s="497"/>
      <c r="O457" s="497"/>
      <c r="P457" s="497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200</v>
      </c>
      <c r="E458" s="615"/>
      <c r="F458" s="719"/>
      <c r="G458" s="365"/>
      <c r="H458" s="369" t="s">
        <v>35</v>
      </c>
      <c r="I458" s="616">
        <v>0</v>
      </c>
      <c r="J458" s="616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201</v>
      </c>
      <c r="E459" s="615"/>
      <c r="F459" s="719"/>
      <c r="G459" s="365"/>
      <c r="H459" s="369"/>
      <c r="I459" s="616"/>
      <c r="J459" s="616"/>
      <c r="K459" s="92"/>
      <c r="L459" s="92"/>
      <c r="M459" s="92"/>
      <c r="N459" s="92"/>
      <c r="O459" s="92"/>
      <c r="P459" s="92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202</v>
      </c>
      <c r="E460" s="617"/>
      <c r="F460" s="625"/>
      <c r="G460" s="761"/>
      <c r="H460" s="763" t="s">
        <v>35</v>
      </c>
      <c r="I460" s="269">
        <f ca="1">IFERROR(__xludf.DUMMYFUNCTION("IMPORTRANGE(""https://docs.google.com/spreadsheets/d/1QqKyyYR6Q21VydFLVH3TRQUabQu_ym0Zz7PgGX0-kHA/edit?usp=sharing"",""แผน!FN80"")"),10)</f>
        <v>10</v>
      </c>
      <c r="J460" s="214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203</v>
      </c>
      <c r="E461" s="625"/>
      <c r="F461" s="625"/>
      <c r="G461" s="761"/>
      <c r="H461" s="763"/>
      <c r="I461" s="269"/>
      <c r="J461" s="269"/>
      <c r="K461" s="497"/>
      <c r="L461" s="497"/>
      <c r="M461" s="497"/>
      <c r="N461" s="497"/>
      <c r="O461" s="497"/>
      <c r="P461" s="497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204</v>
      </c>
      <c r="E462" s="625"/>
      <c r="F462" s="625"/>
      <c r="G462" s="761"/>
      <c r="H462" s="763" t="s">
        <v>46</v>
      </c>
      <c r="I462" s="269">
        <f ca="1">IFERROR(__xludf.DUMMYFUNCTION("IMPORTRANGE(""https://docs.google.com/spreadsheets/d/1QqKyyYR6Q21VydFLVH3TRQUabQu_ym0Zz7PgGX0-kHA/edit?usp=sharing"",""แผน!FO80"")"),20)</f>
        <v>20</v>
      </c>
      <c r="J462" s="214">
        <v>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8"/>
      <c r="H463" s="763" t="s">
        <v>46</v>
      </c>
      <c r="I463" s="269">
        <f ca="1">IFERROR(__xludf.DUMMYFUNCTION("IMPORTRANGE(""https://docs.google.com/spreadsheets/d/1QqKyyYR6Q21VydFLVH3TRQUabQu_ym0Zz7PgGX0-kHA/edit?usp=sharing"",""แผน!FO80"")"),20)</f>
        <v>20</v>
      </c>
      <c r="J463" s="214">
        <v>20</v>
      </c>
      <c r="K463" s="497"/>
      <c r="L463" s="497"/>
      <c r="M463" s="497"/>
      <c r="N463" s="497"/>
      <c r="O463" s="497"/>
      <c r="P463" s="497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69">
        <f ca="1">IFERROR(__xludf.DUMMYFUNCTION("IMPORTRANGE(""https://docs.google.com/spreadsheets/d/1QqKyyYR6Q21VydFLVH3TRQUabQu_ym0Zz7PgGX0-kHA/edit?usp=sharing"",""แผน!FN80"")"),10)</f>
        <v>10</v>
      </c>
      <c r="J464" s="214">
        <v>10</v>
      </c>
      <c r="K464" s="497"/>
      <c r="L464" s="497"/>
      <c r="M464" s="497"/>
      <c r="N464" s="497"/>
      <c r="O464" s="497"/>
      <c r="P464" s="497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205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IFERROR(__xludf.DUMMYFUNCTION("IMPORTRANGE(""https://docs.google.com/spreadsheets/d/1QqKyyYR6Q21VydFLVH3TRQUabQu_ym0Zz7PgGX0-kHA/edit?usp=sharing"",""แผน!FX80"")"),11)</f>
        <v>11</v>
      </c>
      <c r="J465" s="589">
        <f>J485+J489+J492</f>
        <v>11</v>
      </c>
      <c r="K465" s="590">
        <f ca="1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IFERROR(__xludf.DUMMYFUNCTION("IMPORTRANGE(""https://docs.google.com/spreadsheets/d/1QqKyyYR6Q21VydFLVH3TRQUabQu_ym0Zz7PgGX0-kHA/edit?usp=sharing"",""แผน!FW80"")"),100)</f>
        <v>100</v>
      </c>
      <c r="J466" s="569">
        <f>J495+J498</f>
        <v>100</v>
      </c>
      <c r="K466" s="570">
        <f ca="1">IF(I466&gt;0,J466*100/I466,0)</f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87" t="s">
        <v>17</v>
      </c>
      <c r="E467" s="888"/>
      <c r="F467" s="888"/>
      <c r="G467" s="188"/>
      <c r="H467" s="597" t="s">
        <v>12</v>
      </c>
      <c r="I467" s="269"/>
      <c r="J467" s="269"/>
      <c r="K467" s="497"/>
      <c r="L467" s="194">
        <f ca="1">L468+L469</f>
        <v>98283</v>
      </c>
      <c r="M467" s="194">
        <f ca="1">M468+M469</f>
        <v>109413</v>
      </c>
      <c r="N467" s="194">
        <f>N468+N469</f>
        <v>109413</v>
      </c>
      <c r="O467" s="194">
        <f t="shared" ref="O467:O472" ca="1" si="78">IF(L467&gt;0,N467*100/L467,0)</f>
        <v>111.32444064588994</v>
      </c>
      <c r="P467" s="194">
        <f t="shared" ref="P467:P472" ca="1" si="79">IF(M467&gt;0,N467*100/M467,0)</f>
        <v>100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184</v>
      </c>
      <c r="F468" s="758"/>
      <c r="G468" s="602"/>
      <c r="H468" s="164" t="s">
        <v>12</v>
      </c>
      <c r="I468" s="616"/>
      <c r="J468" s="616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185</v>
      </c>
      <c r="F469" s="758"/>
      <c r="G469" s="602"/>
      <c r="H469" s="164" t="s">
        <v>12</v>
      </c>
      <c r="I469" s="616"/>
      <c r="J469" s="616"/>
      <c r="K469" s="92"/>
      <c r="L469" s="92">
        <f t="shared" ca="1" si="80"/>
        <v>98283</v>
      </c>
      <c r="M469" s="92">
        <f t="shared" ca="1" si="80"/>
        <v>109413</v>
      </c>
      <c r="N469" s="92">
        <f t="shared" si="80"/>
        <v>109413</v>
      </c>
      <c r="O469" s="92">
        <f t="shared" ca="1" si="78"/>
        <v>111.32444064588994</v>
      </c>
      <c r="P469" s="92">
        <f t="shared" ca="1" si="79"/>
        <v>100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8"/>
      <c r="H470" s="160" t="s">
        <v>12</v>
      </c>
      <c r="I470" s="183"/>
      <c r="J470" s="183"/>
      <c r="K470" s="162"/>
      <c r="L470" s="497">
        <f ca="1">L471+L472</f>
        <v>98283</v>
      </c>
      <c r="M470" s="497">
        <f ca="1">M471+M472</f>
        <v>109413</v>
      </c>
      <c r="N470" s="497">
        <f>N471+N472</f>
        <v>109413</v>
      </c>
      <c r="O470" s="497">
        <f t="shared" ca="1" si="78"/>
        <v>111.32444064588994</v>
      </c>
      <c r="P470" s="497">
        <f t="shared" ca="1" si="79"/>
        <v>100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184</v>
      </c>
      <c r="F471" s="758"/>
      <c r="G471" s="602"/>
      <c r="H471" s="164" t="s">
        <v>12</v>
      </c>
      <c r="I471" s="616"/>
      <c r="J471" s="616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185</v>
      </c>
      <c r="F472" s="758"/>
      <c r="G472" s="602"/>
      <c r="H472" s="164" t="s">
        <v>12</v>
      </c>
      <c r="I472" s="616"/>
      <c r="J472" s="616"/>
      <c r="K472" s="92"/>
      <c r="L472" s="92">
        <f ca="1">IFERROR(__xludf.DUMMYFUNCTION("IMPORTRANGE(""https://docs.google.com/spreadsheets/d/1QqKyyYR6Q21VydFLVH3TRQUabQu_ym0Zz7PgGX0-kHA/edit?usp=sharing"",""แผน!FS80"")"),98283)</f>
        <v>98283</v>
      </c>
      <c r="M472" s="92">
        <f ca="1">L472-4910+16040</f>
        <v>109413</v>
      </c>
      <c r="N472" s="92">
        <f>N473+N474+N475+N476</f>
        <v>109413</v>
      </c>
      <c r="O472" s="92">
        <f t="shared" ca="1" si="78"/>
        <v>111.32444064588994</v>
      </c>
      <c r="P472" s="92">
        <f t="shared" ca="1" si="79"/>
        <v>100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826">
        <v>31593</v>
      </c>
      <c r="O473" s="497"/>
      <c r="P473" s="497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826">
        <v>66000</v>
      </c>
      <c r="O474" s="497"/>
      <c r="P474" s="497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826">
        <v>500</v>
      </c>
      <c r="O475" s="497"/>
      <c r="P475" s="497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826">
        <v>11320</v>
      </c>
      <c r="O476" s="497"/>
      <c r="P476" s="497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IFERROR(__xludf.DUMMYFUNCTION("IMPORTRANGE(""https://docs.google.com/spreadsheets/d/1QqKyyYR6Q21VydFLVH3TRQUabQu_ym0Zz7PgGX0-kHA/edit?usp=sharing"",""แผน!FV80"")"),0)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43" t="s">
        <v>38</v>
      </c>
      <c r="E480" s="610"/>
      <c r="F480" s="760"/>
      <c r="G480" s="612"/>
      <c r="H480" s="761"/>
      <c r="I480" s="269"/>
      <c r="J480" s="269"/>
      <c r="K480" s="497"/>
      <c r="L480" s="497"/>
      <c r="M480" s="497"/>
      <c r="N480" s="497"/>
      <c r="O480" s="497"/>
      <c r="P480" s="497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206</v>
      </c>
      <c r="E481" s="617"/>
      <c r="F481" s="617"/>
      <c r="G481" s="761"/>
      <c r="H481" s="188"/>
      <c r="I481" s="269"/>
      <c r="J481" s="269"/>
      <c r="K481" s="497"/>
      <c r="L481" s="497"/>
      <c r="M481" s="497"/>
      <c r="N481" s="497"/>
      <c r="O481" s="497"/>
      <c r="P481" s="497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207</v>
      </c>
      <c r="F482" s="617"/>
      <c r="G482" s="761"/>
      <c r="H482" s="188"/>
      <c r="I482" s="269"/>
      <c r="J482" s="269"/>
      <c r="K482" s="497"/>
      <c r="L482" s="497"/>
      <c r="M482" s="497"/>
      <c r="N482" s="497"/>
      <c r="O482" s="497"/>
      <c r="P482" s="497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208</v>
      </c>
      <c r="G483" s="761"/>
      <c r="H483" s="622" t="s">
        <v>46</v>
      </c>
      <c r="I483" s="269">
        <f ca="1">IFERROR(__xludf.DUMMYFUNCTION("IMPORTRANGE(""https://docs.google.com/spreadsheets/d/1QqKyyYR6Q21VydFLVH3TRQUabQu_ym0Zz7PgGX0-kHA/edit?usp=sharing"",""แผน!FY80"")"),90)</f>
        <v>90</v>
      </c>
      <c r="J483" s="214">
        <v>90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209</v>
      </c>
      <c r="G484" s="761"/>
      <c r="H484" s="622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210</v>
      </c>
      <c r="G485" s="761"/>
      <c r="H485" s="622" t="s">
        <v>35</v>
      </c>
      <c r="I485" s="269">
        <f ca="1">IFERROR(__xludf.DUMMYFUNCTION("IMPORTRANGE(""https://docs.google.com/spreadsheets/d/1QqKyyYR6Q21VydFLVH3TRQUabQu_ym0Zz7PgGX0-kHA/edit?usp=sharing"",""แผน!FZ80"")"),9)</f>
        <v>9</v>
      </c>
      <c r="J485" s="214">
        <v>9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69"/>
      <c r="J486" s="269"/>
      <c r="K486" s="497"/>
      <c r="L486" s="497"/>
      <c r="M486" s="497"/>
      <c r="N486" s="497"/>
      <c r="O486" s="497"/>
      <c r="P486" s="497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208</v>
      </c>
      <c r="G487" s="761"/>
      <c r="H487" s="622" t="s">
        <v>46</v>
      </c>
      <c r="I487" s="269">
        <f ca="1">IFERROR(__xludf.DUMMYFUNCTION("IMPORTRANGE(""https://docs.google.com/spreadsheets/d/1QqKyyYR6Q21VydFLVH3TRQUabQu_ym0Zz7PgGX0-kHA/edit?usp=sharing"",""แผน!GA80"")"),10)</f>
        <v>10</v>
      </c>
      <c r="J487" s="214">
        <v>10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211</v>
      </c>
      <c r="G488" s="761"/>
      <c r="H488" s="622" t="s">
        <v>35</v>
      </c>
      <c r="I488" s="269"/>
      <c r="J488" s="214">
        <v>1</v>
      </c>
      <c r="K488" s="497"/>
      <c r="L488" s="497"/>
      <c r="M488" s="497"/>
      <c r="N488" s="497"/>
      <c r="O488" s="497"/>
      <c r="P488" s="497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212</v>
      </c>
      <c r="G489" s="761"/>
      <c r="H489" s="622" t="s">
        <v>35</v>
      </c>
      <c r="I489" s="269">
        <f ca="1">IFERROR(__xludf.DUMMYFUNCTION("IMPORTRANGE(""https://docs.google.com/spreadsheets/d/1QqKyyYR6Q21VydFLVH3TRQUabQu_ym0Zz7PgGX0-kHA/edit?usp=sharing"",""แผน!GB80"")"),1)</f>
        <v>1</v>
      </c>
      <c r="J489" s="214">
        <v>1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69"/>
      <c r="J490" s="269"/>
      <c r="K490" s="497"/>
      <c r="L490" s="497"/>
      <c r="M490" s="497"/>
      <c r="N490" s="497"/>
      <c r="O490" s="497"/>
      <c r="P490" s="497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213</v>
      </c>
      <c r="G491" s="761"/>
      <c r="H491" s="622" t="s">
        <v>35</v>
      </c>
      <c r="I491" s="269"/>
      <c r="J491" s="214">
        <v>1</v>
      </c>
      <c r="K491" s="497"/>
      <c r="L491" s="497"/>
      <c r="M491" s="497"/>
      <c r="N491" s="497"/>
      <c r="O491" s="497"/>
      <c r="P491" s="497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214</v>
      </c>
      <c r="G492" s="761"/>
      <c r="H492" s="622" t="s">
        <v>35</v>
      </c>
      <c r="I492" s="269">
        <f ca="1">IFERROR(__xludf.DUMMYFUNCTION("IMPORTRANGE(""https://docs.google.com/spreadsheets/d/1QqKyyYR6Q21VydFLVH3TRQUabQu_ym0Zz7PgGX0-kHA/edit?usp=sharing"",""แผน!GC80"")"),1)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8"/>
      <c r="I493" s="269"/>
      <c r="J493" s="269"/>
      <c r="K493" s="497"/>
      <c r="L493" s="497"/>
      <c r="M493" s="497"/>
      <c r="N493" s="497"/>
      <c r="O493" s="497"/>
      <c r="P493" s="497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207</v>
      </c>
      <c r="F494" s="625"/>
      <c r="G494" s="761"/>
      <c r="H494" s="188"/>
      <c r="I494" s="269"/>
      <c r="J494" s="269"/>
      <c r="K494" s="497"/>
      <c r="L494" s="497"/>
      <c r="M494" s="497"/>
      <c r="N494" s="497"/>
      <c r="O494" s="497"/>
      <c r="P494" s="497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215</v>
      </c>
      <c r="G495" s="761"/>
      <c r="H495" s="622" t="s">
        <v>46</v>
      </c>
      <c r="I495" s="269">
        <f ca="1">IFERROR(__xludf.DUMMYFUNCTION("IMPORTRANGE(""https://docs.google.com/spreadsheets/d/1QqKyyYR6Q21VydFLVH3TRQUabQu_ym0Zz7PgGX0-kHA/edit?usp=sharing"",""แผน!FY80"")"),90)</f>
        <v>90</v>
      </c>
      <c r="J495" s="214">
        <v>90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216</v>
      </c>
      <c r="G496" s="761"/>
      <c r="H496" s="622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8"/>
      <c r="I497" s="269"/>
      <c r="J497" s="269"/>
      <c r="K497" s="497"/>
      <c r="L497" s="497"/>
      <c r="M497" s="497"/>
      <c r="N497" s="497"/>
      <c r="O497" s="497"/>
      <c r="P497" s="497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217</v>
      </c>
      <c r="G498" s="761"/>
      <c r="H498" s="622" t="s">
        <v>46</v>
      </c>
      <c r="I498" s="269">
        <f ca="1">IFERROR(__xludf.DUMMYFUNCTION("IMPORTRANGE(""https://docs.google.com/spreadsheets/d/1QqKyyYR6Q21VydFLVH3TRQUabQu_ym0Zz7PgGX0-kHA/edit?usp=sharing"",""แผน!GA80"")"),10)</f>
        <v>10</v>
      </c>
      <c r="J498" s="214">
        <v>10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218</v>
      </c>
      <c r="G499" s="761"/>
      <c r="H499" s="622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219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>J516</f>
        <v>0</v>
      </c>
      <c r="K500" s="633">
        <f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220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>J517</f>
        <v>0</v>
      </c>
      <c r="K501" s="642">
        <f>IF(I501&gt;0,J501*100/I501,0)</f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92" t="s">
        <v>17</v>
      </c>
      <c r="E502" s="888"/>
      <c r="F502" s="888"/>
      <c r="G502" s="602"/>
      <c r="H502" s="645" t="s">
        <v>12</v>
      </c>
      <c r="I502" s="616"/>
      <c r="J502" s="616"/>
      <c r="K502" s="92"/>
      <c r="L502" s="646">
        <f>L503+L504</f>
        <v>0</v>
      </c>
      <c r="M502" s="646">
        <f>M503+M504</f>
        <v>0</v>
      </c>
      <c r="N502" s="646">
        <f>N503+N504</f>
        <v>0</v>
      </c>
      <c r="O502" s="646">
        <f t="shared" ref="O502:O507" si="81">IF(L502&gt;0,N502*100/L502,0)</f>
        <v>0</v>
      </c>
      <c r="P502" s="646">
        <f t="shared" ref="P502:P507" si="82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184</v>
      </c>
      <c r="F503" s="758"/>
      <c r="G503" s="602"/>
      <c r="H503" s="164" t="s">
        <v>12</v>
      </c>
      <c r="I503" s="616"/>
      <c r="J503" s="616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185</v>
      </c>
      <c r="F504" s="758"/>
      <c r="G504" s="602"/>
      <c r="H504" s="164" t="s">
        <v>12</v>
      </c>
      <c r="I504" s="616"/>
      <c r="J504" s="616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184</v>
      </c>
      <c r="F506" s="758"/>
      <c r="G506" s="602"/>
      <c r="H506" s="164" t="s">
        <v>12</v>
      </c>
      <c r="I506" s="616"/>
      <c r="J506" s="616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185</v>
      </c>
      <c r="F507" s="758"/>
      <c r="G507" s="602"/>
      <c r="H507" s="164" t="s">
        <v>12</v>
      </c>
      <c r="I507" s="616"/>
      <c r="J507" s="616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186</v>
      </c>
      <c r="G508" s="602"/>
      <c r="H508" s="164" t="s">
        <v>12</v>
      </c>
      <c r="I508" s="616"/>
      <c r="J508" s="616"/>
      <c r="K508" s="92"/>
      <c r="L508" s="92"/>
      <c r="M508" s="92"/>
      <c r="N508" s="92">
        <v>0</v>
      </c>
      <c r="O508" s="92"/>
      <c r="P508" s="92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187</v>
      </c>
      <c r="G509" s="602"/>
      <c r="H509" s="164" t="s">
        <v>12</v>
      </c>
      <c r="I509" s="616"/>
      <c r="J509" s="616"/>
      <c r="K509" s="92"/>
      <c r="L509" s="92"/>
      <c r="M509" s="92"/>
      <c r="N509" s="92">
        <v>0</v>
      </c>
      <c r="O509" s="92"/>
      <c r="P509" s="92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188</v>
      </c>
      <c r="G510" s="602"/>
      <c r="H510" s="164" t="s">
        <v>12</v>
      </c>
      <c r="I510" s="616"/>
      <c r="J510" s="616"/>
      <c r="K510" s="92"/>
      <c r="L510" s="92"/>
      <c r="M510" s="92"/>
      <c r="N510" s="92">
        <v>0</v>
      </c>
      <c r="O510" s="92"/>
      <c r="P510" s="92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189</v>
      </c>
      <c r="G511" s="602"/>
      <c r="H511" s="164" t="s">
        <v>12</v>
      </c>
      <c r="I511" s="616"/>
      <c r="J511" s="616"/>
      <c r="K511" s="92"/>
      <c r="L511" s="92"/>
      <c r="M511" s="92"/>
      <c r="N511" s="92">
        <v>0</v>
      </c>
      <c r="O511" s="92"/>
      <c r="P511" s="92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42" t="s">
        <v>38</v>
      </c>
      <c r="E515" s="650"/>
      <c r="F515" s="650"/>
      <c r="G515" s="651"/>
      <c r="H515" s="365"/>
      <c r="I515" s="165"/>
      <c r="J515" s="165"/>
      <c r="K515" s="166"/>
      <c r="L515" s="166"/>
      <c r="M515" s="166"/>
      <c r="N515" s="166"/>
      <c r="O515" s="166"/>
      <c r="P515" s="166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221</v>
      </c>
      <c r="E516" s="719"/>
      <c r="F516" s="719"/>
      <c r="G516" s="365"/>
      <c r="H516" s="652" t="s">
        <v>109</v>
      </c>
      <c r="I516" s="616"/>
      <c r="J516" s="616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222</v>
      </c>
      <c r="E517" s="719"/>
      <c r="F517" s="719"/>
      <c r="G517" s="365"/>
      <c r="H517" s="653" t="s">
        <v>35</v>
      </c>
      <c r="I517" s="654"/>
      <c r="J517" s="654">
        <f>J518+J519</f>
        <v>0</v>
      </c>
      <c r="K517" s="655">
        <f>IF(I517&gt;0,J517*100/I517,0)</f>
        <v>0</v>
      </c>
      <c r="L517" s="166"/>
      <c r="M517" s="166"/>
      <c r="N517" s="166"/>
      <c r="O517" s="166"/>
      <c r="P517" s="166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223</v>
      </c>
      <c r="F518" s="719"/>
      <c r="G518" s="365"/>
      <c r="H518" s="369" t="s">
        <v>35</v>
      </c>
      <c r="I518" s="616"/>
      <c r="J518" s="616"/>
      <c r="K518" s="166"/>
      <c r="L518" s="166"/>
      <c r="M518" s="166"/>
      <c r="N518" s="166"/>
      <c r="O518" s="166"/>
      <c r="P518" s="166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224</v>
      </c>
      <c r="F519" s="719"/>
      <c r="G519" s="365"/>
      <c r="H519" s="652" t="s">
        <v>35</v>
      </c>
      <c r="I519" s="616"/>
      <c r="J519" s="616"/>
      <c r="K519" s="166"/>
      <c r="L519" s="166"/>
      <c r="M519" s="166"/>
      <c r="N519" s="166"/>
      <c r="O519" s="166"/>
      <c r="P519" s="166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225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226</v>
      </c>
      <c r="C522" s="672"/>
      <c r="D522" s="672"/>
      <c r="E522" s="672"/>
      <c r="F522" s="672"/>
      <c r="G522" s="673"/>
      <c r="H522" s="674" t="s">
        <v>35</v>
      </c>
      <c r="I522" s="707">
        <f ca="1">I537</f>
        <v>0</v>
      </c>
      <c r="J522" s="707">
        <f ca="1">J537</f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87" t="s">
        <v>17</v>
      </c>
      <c r="E523" s="888"/>
      <c r="F523" s="888"/>
      <c r="G523" s="188"/>
      <c r="H523" s="597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184</v>
      </c>
      <c r="F524" s="758"/>
      <c r="G524" s="602"/>
      <c r="H524" s="164" t="s">
        <v>12</v>
      </c>
      <c r="I524" s="616"/>
      <c r="J524" s="616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185</v>
      </c>
      <c r="F525" s="758"/>
      <c r="G525" s="602"/>
      <c r="H525" s="164" t="s">
        <v>12</v>
      </c>
      <c r="I525" s="616"/>
      <c r="J525" s="616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184</v>
      </c>
      <c r="F527" s="758"/>
      <c r="G527" s="602"/>
      <c r="H527" s="164" t="s">
        <v>12</v>
      </c>
      <c r="I527" s="616"/>
      <c r="J527" s="616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185</v>
      </c>
      <c r="F528" s="758"/>
      <c r="G528" s="602"/>
      <c r="H528" s="164" t="s">
        <v>12</v>
      </c>
      <c r="I528" s="616"/>
      <c r="J528" s="616"/>
      <c r="K528" s="92"/>
      <c r="L528" s="92">
        <f ca="1">IFERROR(__xludf.DUMMYFUNCTION("IMPORTRANGE(""https://docs.google.com/spreadsheets/d/1QqKyyYR6Q21VydFLVH3TRQUabQu_ym0Zz7PgGX0-kHA/edit?usp=sharing"",""แผน!GQ80"")"),0)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826">
        <v>0</v>
      </c>
      <c r="O529" s="497"/>
      <c r="P529" s="497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826">
        <v>0</v>
      </c>
      <c r="O530" s="497"/>
      <c r="P530" s="497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826">
        <v>0</v>
      </c>
      <c r="O531" s="497"/>
      <c r="P531" s="497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826">
        <v>0</v>
      </c>
      <c r="O532" s="497"/>
      <c r="P532" s="497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IFERROR(__xludf.DUMMYFUNCTION("IMPORTRANGE(""https://docs.google.com/spreadsheets/d/1QqKyyYR6Q21VydFLVH3TRQUabQu_ym0Zz7PgGX0-kHA/edit?usp=sharing"",""แผน!GT80"")"),0)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41" t="s">
        <v>38</v>
      </c>
      <c r="E536" s="760"/>
      <c r="F536" s="760"/>
      <c r="G536" s="612"/>
      <c r="H536" s="761"/>
      <c r="I536" s="183"/>
      <c r="J536" s="183"/>
      <c r="K536" s="162"/>
      <c r="L536" s="162"/>
      <c r="M536" s="162"/>
      <c r="N536" s="162"/>
      <c r="O536" s="162"/>
      <c r="P536" s="162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227</v>
      </c>
      <c r="E537" s="762"/>
      <c r="F537" s="762"/>
      <c r="G537" s="188"/>
      <c r="H537" s="622" t="s">
        <v>35</v>
      </c>
      <c r="I537" s="680">
        <f ca="1">IFERROR(__xludf.DUMMYFUNCTION("IMPORTRANGE(""https://docs.google.com/spreadsheets/d/1QqKyyYR6Q21VydFLVH3TRQUabQu_ym0Zz7PgGX0-kHA/edit?usp=sharing"",""แผน!GU80"")"),0)</f>
        <v>0</v>
      </c>
      <c r="J537" s="680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228</v>
      </c>
      <c r="F538" s="762"/>
      <c r="G538" s="188"/>
      <c r="H538" s="622" t="s">
        <v>35</v>
      </c>
      <c r="I538" s="269">
        <f ca="1">IFERROR(__xludf.DUMMYFUNCTION("IMPORTRANGE(""https://docs.google.com/spreadsheets/d/1QqKyyYR6Q21VydFLVH3TRQUabQu_ym0Zz7PgGX0-kHA/edit?usp=sharing"",""แผน!GV80"")"),0)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229</v>
      </c>
      <c r="F539" s="762"/>
      <c r="G539" s="188"/>
      <c r="H539" s="622" t="s">
        <v>35</v>
      </c>
      <c r="I539" s="269">
        <f ca="1">IFERROR(__xludf.DUMMYFUNCTION("IMPORTRANGE(""https://docs.google.com/spreadsheets/d/1QqKyyYR6Q21VydFLVH3TRQUabQu_ym0Zz7PgGX0-kHA/edit?usp=sharing"",""แผน!GW80"")"),0)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230</v>
      </c>
      <c r="F540" s="762"/>
      <c r="G540" s="188"/>
      <c r="H540" s="622" t="s">
        <v>35</v>
      </c>
      <c r="I540" s="269">
        <f ca="1">IFERROR(__xludf.DUMMYFUNCTION("IMPORTRANGE(""https://docs.google.com/spreadsheets/d/1QqKyyYR6Q21VydFLVH3TRQUabQu_ym0Zz7PgGX0-kHA/edit?usp=sharing"",""แผน!GX80"")"),0)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231</v>
      </c>
      <c r="F541" s="762"/>
      <c r="G541" s="188"/>
      <c r="H541" s="622" t="s">
        <v>35</v>
      </c>
      <c r="I541" s="269">
        <f ca="1">IFERROR(__xludf.DUMMYFUNCTION("IMPORTRANGE(""https://docs.google.com/spreadsheets/d/1QqKyyYR6Q21VydFLVH3TRQUabQu_ym0Zz7PgGX0-kHA/edit?usp=sharing"",""แผน!GY80"")"),0)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8"/>
      <c r="H542" s="622" t="s">
        <v>35</v>
      </c>
      <c r="I542" s="269">
        <f ca="1">IFERROR(__xludf.DUMMYFUNCTION("IMPORTRANGE(""https://docs.google.com/spreadsheets/d/1QqKyyYR6Q21VydFLVH3TRQUabQu_ym0Zz7PgGX0-kHA/edit?usp=sharing"",""แผน!GZ80"")"),0)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232</v>
      </c>
      <c r="C543" s="666"/>
      <c r="D543" s="666"/>
      <c r="E543" s="666"/>
      <c r="F543" s="666"/>
      <c r="G543" s="667"/>
      <c r="H543" s="685" t="s">
        <v>46</v>
      </c>
      <c r="I543" s="686">
        <f ca="1">I559</f>
        <v>6591.0807999999997</v>
      </c>
      <c r="J543" s="686">
        <f>J559</f>
        <v>6591.0808000000006</v>
      </c>
      <c r="K543" s="687">
        <f t="shared" ca="1" si="87"/>
        <v>100.00000000000001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911" t="s">
        <v>17</v>
      </c>
      <c r="E544" s="890"/>
      <c r="F544" s="890"/>
      <c r="G544" s="690"/>
      <c r="H544" s="274" t="s">
        <v>12</v>
      </c>
      <c r="I544" s="420"/>
      <c r="J544" s="420"/>
      <c r="K544" s="153"/>
      <c r="L544" s="154">
        <f ca="1">L545+L546</f>
        <v>299718</v>
      </c>
      <c r="M544" s="154">
        <f ca="1">M545+M546</f>
        <v>232518</v>
      </c>
      <c r="N544" s="154">
        <f>N545+N546</f>
        <v>232518</v>
      </c>
      <c r="O544" s="154">
        <f t="shared" ref="O544:O549" ca="1" si="88">IF(L544&gt;0,N544*100/L544,0)</f>
        <v>77.578924188737417</v>
      </c>
      <c r="P544" s="154">
        <f t="shared" ref="P544:P549" ca="1" si="89">IF(M544&gt;0,N544*100/M544,0)</f>
        <v>100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184</v>
      </c>
      <c r="F545" s="758"/>
      <c r="G545" s="602"/>
      <c r="H545" s="164" t="s">
        <v>12</v>
      </c>
      <c r="I545" s="616"/>
      <c r="J545" s="616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185</v>
      </c>
      <c r="F546" s="758"/>
      <c r="G546" s="602"/>
      <c r="H546" s="164" t="s">
        <v>12</v>
      </c>
      <c r="I546" s="616"/>
      <c r="J546" s="616"/>
      <c r="K546" s="92"/>
      <c r="L546" s="92">
        <f ca="1">L549+L557</f>
        <v>299718</v>
      </c>
      <c r="M546" s="92">
        <f ca="1">M549+M556</f>
        <v>232518</v>
      </c>
      <c r="N546" s="92">
        <f>N549+N556</f>
        <v>232518</v>
      </c>
      <c r="O546" s="92">
        <f t="shared" ca="1" si="88"/>
        <v>77.578924188737417</v>
      </c>
      <c r="P546" s="92">
        <f t="shared" ca="1" si="89"/>
        <v>100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8"/>
      <c r="H547" s="160" t="s">
        <v>12</v>
      </c>
      <c r="I547" s="183"/>
      <c r="J547" s="183"/>
      <c r="K547" s="162"/>
      <c r="L547" s="497">
        <f ca="1">L548+L549</f>
        <v>299718</v>
      </c>
      <c r="M547" s="497">
        <f ca="1">M548+M549</f>
        <v>232518</v>
      </c>
      <c r="N547" s="497">
        <f>N548+N549</f>
        <v>232518</v>
      </c>
      <c r="O547" s="497">
        <f t="shared" ca="1" si="88"/>
        <v>77.578924188737417</v>
      </c>
      <c r="P547" s="497">
        <f t="shared" ca="1" si="89"/>
        <v>100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184</v>
      </c>
      <c r="F548" s="758"/>
      <c r="G548" s="602"/>
      <c r="H548" s="164" t="s">
        <v>12</v>
      </c>
      <c r="I548" s="616"/>
      <c r="J548" s="616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185</v>
      </c>
      <c r="F549" s="758"/>
      <c r="G549" s="602"/>
      <c r="H549" s="164" t="s">
        <v>12</v>
      </c>
      <c r="I549" s="616"/>
      <c r="J549" s="616"/>
      <c r="K549" s="92"/>
      <c r="L549" s="92">
        <f ca="1">IFERROR(__xludf.DUMMYFUNCTION("IMPORTRANGE(""https://docs.google.com/spreadsheets/d/1QqKyyYR6Q21VydFLVH3TRQUabQu_ym0Zz7PgGX0-kHA/edit?usp=sharing"",""แผน!HB80"")"),299718)</f>
        <v>299718</v>
      </c>
      <c r="M549" s="92">
        <f ca="1">L549-48300-18900</f>
        <v>232518</v>
      </c>
      <c r="N549" s="92">
        <f>N550+N551+N552+N553+N554</f>
        <v>232518</v>
      </c>
      <c r="O549" s="92">
        <f t="shared" ca="1" si="88"/>
        <v>77.578924188737417</v>
      </c>
      <c r="P549" s="92">
        <f t="shared" ca="1" si="89"/>
        <v>100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826">
        <v>0</v>
      </c>
      <c r="O550" s="497"/>
      <c r="P550" s="497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826">
        <v>0</v>
      </c>
      <c r="O551" s="497"/>
      <c r="P551" s="497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826">
        <v>140833.35</v>
      </c>
      <c r="O552" s="497"/>
      <c r="P552" s="497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826">
        <f>103818.55-12133.9</f>
        <v>91684.650000000009</v>
      </c>
      <c r="O553" s="497"/>
      <c r="P553" s="497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826">
        <v>0</v>
      </c>
      <c r="O554" s="497"/>
      <c r="P554" s="497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IFERROR(__xludf.DUMMYFUNCTION("IMPORTRANGE(""https://docs.google.com/spreadsheets/d/1QqKyyYR6Q21VydFLVH3TRQUabQu_ym0Zz7PgGX0-kHA/edit?usp=sharing"",""แผน!HF80"")"),0)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41" t="s">
        <v>38</v>
      </c>
      <c r="E558" s="760"/>
      <c r="F558" s="760"/>
      <c r="G558" s="612"/>
      <c r="H558" s="761"/>
      <c r="I558" s="183"/>
      <c r="J558" s="183"/>
      <c r="K558" s="162"/>
      <c r="L558" s="162"/>
      <c r="M558" s="162"/>
      <c r="N558" s="162"/>
      <c r="O558" s="162"/>
      <c r="P558" s="162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234</v>
      </c>
      <c r="C559" s="693"/>
      <c r="D559" s="693"/>
      <c r="E559" s="672"/>
      <c r="F559" s="672"/>
      <c r="G559" s="673"/>
      <c r="H559" s="694" t="s">
        <v>46</v>
      </c>
      <c r="I559" s="707">
        <f ca="1">I576</f>
        <v>6591.0807999999997</v>
      </c>
      <c r="J559" s="707">
        <f>J576</f>
        <v>6591.0808000000006</v>
      </c>
      <c r="K559" s="676">
        <f ca="1">IF(I559&gt;0,J559*100/I559,0)</f>
        <v>100.00000000000001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235</v>
      </c>
      <c r="D560" s="617"/>
      <c r="E560" s="625"/>
      <c r="F560" s="625"/>
      <c r="G560" s="761"/>
      <c r="H560" s="766" t="s">
        <v>46</v>
      </c>
      <c r="I560" s="192">
        <f ca="1">IFERROR(__xludf.DUMMYFUNCTION("IMPORTRANGE(""https://docs.google.com/spreadsheets/d/1QqKyyYR6Q21VydFLVH3TRQUabQu_ym0Zz7PgGX0-kHA/edit?usp=sharing"",""แผน!HH80"")"),6591.0808)</f>
        <v>6591.0807999999997</v>
      </c>
      <c r="J560" s="192">
        <f>J562+J564+J566</f>
        <v>5600.0199999999995</v>
      </c>
      <c r="K560" s="411">
        <f ca="1">IF(I560&gt;0,J560*100/I560,0)</f>
        <v>84.963607182603496</v>
      </c>
      <c r="L560" s="162"/>
      <c r="M560" s="162"/>
      <c r="N560" s="162"/>
      <c r="O560" s="162"/>
      <c r="P560" s="162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2">
        <f ca="1">IFERROR(__xludf.DUMMYFUNCTION("IMPORTRANGE(""https://docs.google.com/spreadsheets/d/1QqKyyYR6Q21VydFLVH3TRQUabQu_ym0Zz7PgGX0-kHA/edit?usp=sharing"",""แผน!HG80"")"),1075)</f>
        <v>1075</v>
      </c>
      <c r="J561" s="192">
        <f>J563+J565+J567</f>
        <v>940</v>
      </c>
      <c r="K561" s="411">
        <f ca="1">IF(I561&gt;0,J561*100/I561,0)</f>
        <v>87.441860465116278</v>
      </c>
      <c r="L561" s="162"/>
      <c r="M561" s="162"/>
      <c r="N561" s="162"/>
      <c r="O561" s="162"/>
      <c r="P561" s="162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236</v>
      </c>
      <c r="E562" s="625"/>
      <c r="F562" s="625"/>
      <c r="G562" s="761"/>
      <c r="H562" s="763" t="s">
        <v>46</v>
      </c>
      <c r="I562" s="183"/>
      <c r="J562" s="214">
        <v>4203.7</v>
      </c>
      <c r="K562" s="162"/>
      <c r="L562" s="162"/>
      <c r="M562" s="162"/>
      <c r="N562" s="162"/>
      <c r="O562" s="162"/>
      <c r="P562" s="162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3"/>
      <c r="J563" s="214">
        <v>723</v>
      </c>
      <c r="K563" s="162"/>
      <c r="L563" s="162"/>
      <c r="M563" s="162"/>
      <c r="N563" s="162"/>
      <c r="O563" s="162"/>
      <c r="P563" s="162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237</v>
      </c>
      <c r="E564" s="625"/>
      <c r="F564" s="625"/>
      <c r="G564" s="761"/>
      <c r="H564" s="763" t="s">
        <v>46</v>
      </c>
      <c r="I564" s="183"/>
      <c r="J564" s="214">
        <v>1029.3499999999999</v>
      </c>
      <c r="K564" s="162"/>
      <c r="L564" s="162"/>
      <c r="M564" s="162"/>
      <c r="N564" s="162"/>
      <c r="O564" s="162"/>
      <c r="P564" s="162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3"/>
      <c r="J565" s="214">
        <v>154</v>
      </c>
      <c r="K565" s="162"/>
      <c r="L565" s="162"/>
      <c r="M565" s="162"/>
      <c r="N565" s="162"/>
      <c r="O565" s="162"/>
      <c r="P565" s="162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238</v>
      </c>
      <c r="E566" s="625"/>
      <c r="F566" s="625"/>
      <c r="G566" s="761"/>
      <c r="H566" s="763" t="s">
        <v>46</v>
      </c>
      <c r="I566" s="183"/>
      <c r="J566" s="214">
        <v>366.97</v>
      </c>
      <c r="K566" s="162"/>
      <c r="L566" s="162"/>
      <c r="M566" s="162"/>
      <c r="N566" s="162"/>
      <c r="O566" s="162"/>
      <c r="P566" s="162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3"/>
      <c r="J567" s="214">
        <v>63</v>
      </c>
      <c r="K567" s="162"/>
      <c r="L567" s="162"/>
      <c r="M567" s="162"/>
      <c r="N567" s="162"/>
      <c r="O567" s="162"/>
      <c r="P567" s="162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239</v>
      </c>
      <c r="D568" s="625"/>
      <c r="E568" s="625"/>
      <c r="F568" s="625"/>
      <c r="G568" s="761"/>
      <c r="H568" s="766" t="s">
        <v>46</v>
      </c>
      <c r="I568" s="192">
        <f ca="1">IFERROR(__xludf.DUMMYFUNCTION("IMPORTRANGE(""https://docs.google.com/spreadsheets/d/1QqKyyYR6Q21VydFLVH3TRQUabQu_ym0Zz7PgGX0-kHA/edit?usp=sharing"",""แผน!HH80"")"),6591.0808)</f>
        <v>6591.0807999999997</v>
      </c>
      <c r="J568" s="680">
        <f>J570+J572+J574</f>
        <v>0</v>
      </c>
      <c r="K568" s="411">
        <f ca="1">IF(I568&gt;0,J568*100/I568,0)</f>
        <v>0</v>
      </c>
      <c r="L568" s="162"/>
      <c r="M568" s="162"/>
      <c r="N568" s="162"/>
      <c r="O568" s="162"/>
      <c r="P568" s="162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2">
        <f ca="1">IFERROR(__xludf.DUMMYFUNCTION("IMPORTRANGE(""https://docs.google.com/spreadsheets/d/1QqKyyYR6Q21VydFLVH3TRQUabQu_ym0Zz7PgGX0-kHA/edit?usp=sharing"",""แผน!HG80"")"),1075)</f>
        <v>1075</v>
      </c>
      <c r="J569" s="680">
        <f>J571+J573+J575</f>
        <v>0</v>
      </c>
      <c r="K569" s="411">
        <f ca="1">IF(I569&gt;0,J569*100/I569,0)</f>
        <v>0</v>
      </c>
      <c r="L569" s="162"/>
      <c r="M569" s="162"/>
      <c r="N569" s="162"/>
      <c r="O569" s="162"/>
      <c r="P569" s="162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240</v>
      </c>
      <c r="E570" s="617"/>
      <c r="F570" s="625"/>
      <c r="G570" s="761"/>
      <c r="H570" s="763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241</v>
      </c>
      <c r="E572" s="625"/>
      <c r="F572" s="625"/>
      <c r="G572" s="761"/>
      <c r="H572" s="763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242</v>
      </c>
      <c r="E574" s="625"/>
      <c r="F574" s="625"/>
      <c r="G574" s="761"/>
      <c r="H574" s="763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243</v>
      </c>
      <c r="D576" s="617"/>
      <c r="E576" s="617"/>
      <c r="F576" s="625"/>
      <c r="G576" s="761"/>
      <c r="H576" s="766" t="s">
        <v>46</v>
      </c>
      <c r="I576" s="192">
        <f ca="1">IFERROR(__xludf.DUMMYFUNCTION("IMPORTRANGE(""https://docs.google.com/spreadsheets/d/1QqKyyYR6Q21VydFLVH3TRQUabQu_ym0Zz7PgGX0-kHA/edit?usp=sharing"",""แผน!HH80"")"),6591.0808)</f>
        <v>6591.0807999999997</v>
      </c>
      <c r="J576" s="680">
        <f>J578+J580+J582+J588+J590</f>
        <v>6591.0808000000006</v>
      </c>
      <c r="K576" s="411">
        <f ca="1">IF(I576&gt;0,J576*100/I576,0)</f>
        <v>100.00000000000001</v>
      </c>
      <c r="L576" s="162"/>
      <c r="M576" s="162"/>
      <c r="N576" s="162"/>
      <c r="O576" s="162"/>
      <c r="P576" s="162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2">
        <f ca="1">IFERROR(__xludf.DUMMYFUNCTION("IMPORTRANGE(""https://docs.google.com/spreadsheets/d/1QqKyyYR6Q21VydFLVH3TRQUabQu_ym0Zz7PgGX0-kHA/edit?usp=sharing"",""แผน!HG80"")"),1075)</f>
        <v>1075</v>
      </c>
      <c r="J577" s="680">
        <f>J579+J581+J583+J589+J591</f>
        <v>1075</v>
      </c>
      <c r="K577" s="411">
        <f ca="1">IF(I577&gt;0,J577*100/I577,0)</f>
        <v>100</v>
      </c>
      <c r="L577" s="162"/>
      <c r="M577" s="162"/>
      <c r="N577" s="162"/>
      <c r="O577" s="162"/>
      <c r="P577" s="162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244</v>
      </c>
      <c r="E578" s="625"/>
      <c r="F578" s="625"/>
      <c r="G578" s="761"/>
      <c r="H578" s="763" t="s">
        <v>46</v>
      </c>
      <c r="I578" s="183"/>
      <c r="J578" s="214">
        <v>5971.3643000000002</v>
      </c>
      <c r="K578" s="162"/>
      <c r="L578" s="162"/>
      <c r="M578" s="162"/>
      <c r="N578" s="162"/>
      <c r="O578" s="162"/>
      <c r="P578" s="162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3"/>
      <c r="J579" s="214">
        <v>970</v>
      </c>
      <c r="K579" s="162"/>
      <c r="L579" s="162"/>
      <c r="M579" s="162"/>
      <c r="N579" s="162"/>
      <c r="O579" s="162"/>
      <c r="P579" s="162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245</v>
      </c>
      <c r="E580" s="625"/>
      <c r="F580" s="625"/>
      <c r="G580" s="761"/>
      <c r="H580" s="763" t="s">
        <v>46</v>
      </c>
      <c r="I580" s="183"/>
      <c r="J580" s="214">
        <v>37.090000000000003</v>
      </c>
      <c r="K580" s="162"/>
      <c r="L580" s="162"/>
      <c r="M580" s="162"/>
      <c r="N580" s="162"/>
      <c r="O580" s="162"/>
      <c r="P580" s="162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3"/>
      <c r="J581" s="214">
        <v>6</v>
      </c>
      <c r="K581" s="162"/>
      <c r="L581" s="162"/>
      <c r="M581" s="162"/>
      <c r="N581" s="162"/>
      <c r="O581" s="162"/>
      <c r="P581" s="162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246</v>
      </c>
      <c r="E582" s="625"/>
      <c r="F582" s="625"/>
      <c r="G582" s="761"/>
      <c r="H582" s="763" t="s">
        <v>46</v>
      </c>
      <c r="I582" s="183"/>
      <c r="J582" s="680">
        <f>J584+J586</f>
        <v>582.62649999999996</v>
      </c>
      <c r="K582" s="411"/>
      <c r="L582" s="162"/>
      <c r="M582" s="162"/>
      <c r="N582" s="162"/>
      <c r="O582" s="162"/>
      <c r="P582" s="162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3"/>
      <c r="J583" s="680">
        <f>J585+J587</f>
        <v>99</v>
      </c>
      <c r="K583" s="411"/>
      <c r="L583" s="162"/>
      <c r="M583" s="162"/>
      <c r="N583" s="162"/>
      <c r="O583" s="162"/>
      <c r="P583" s="162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247</v>
      </c>
      <c r="F584" s="625"/>
      <c r="G584" s="761"/>
      <c r="H584" s="763" t="s">
        <v>46</v>
      </c>
      <c r="I584" s="183"/>
      <c r="J584" s="214">
        <v>582.62649999999996</v>
      </c>
      <c r="K584" s="162"/>
      <c r="L584" s="162"/>
      <c r="M584" s="162"/>
      <c r="N584" s="162"/>
      <c r="O584" s="162"/>
      <c r="P584" s="162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3"/>
      <c r="J585" s="214">
        <v>99</v>
      </c>
      <c r="K585" s="162"/>
      <c r="L585" s="162"/>
      <c r="M585" s="162"/>
      <c r="N585" s="162"/>
      <c r="O585" s="162"/>
      <c r="P585" s="162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248</v>
      </c>
      <c r="F586" s="625"/>
      <c r="G586" s="761"/>
      <c r="H586" s="763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249</v>
      </c>
      <c r="E588" s="625"/>
      <c r="F588" s="625"/>
      <c r="G588" s="761"/>
      <c r="H588" s="763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250</v>
      </c>
      <c r="E590" s="625"/>
      <c r="F590" s="625"/>
      <c r="G590" s="761"/>
      <c r="H590" s="763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251</v>
      </c>
      <c r="C592" s="693"/>
      <c r="D592" s="693"/>
      <c r="E592" s="672"/>
      <c r="F592" s="672"/>
      <c r="G592" s="673"/>
      <c r="H592" s="694" t="s">
        <v>46</v>
      </c>
      <c r="I592" s="702">
        <f ca="1">I593</f>
        <v>1539.76</v>
      </c>
      <c r="J592" s="707">
        <f>J593</f>
        <v>1539.76</v>
      </c>
      <c r="K592" s="676">
        <f ca="1">IF(I592&gt;0,J592*100/I592,0)</f>
        <v>100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252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IFERROR(__xludf.DUMMYFUNCTION("IMPORTRANGE(""https://docs.google.com/spreadsheets/d/1QqKyyYR6Q21VydFLVH3TRQUabQu_ym0Zz7PgGX0-kHA/edit?usp=sharing"",""แผน!HJ80"")"),1539.76)</f>
        <v>1539.76</v>
      </c>
      <c r="J593" s="192">
        <f>J595+J603+J609</f>
        <v>1539.76</v>
      </c>
      <c r="K593" s="411">
        <f ca="1">IF(I593&gt;0,J593*100/I593,0)</f>
        <v>100</v>
      </c>
      <c r="L593" s="162"/>
      <c r="M593" s="162"/>
      <c r="N593" s="162"/>
      <c r="O593" s="162"/>
      <c r="P593" s="162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2">
        <f ca="1">IFERROR(__xludf.DUMMYFUNCTION("IMPORTRANGE(""https://docs.google.com/spreadsheets/d/1QqKyyYR6Q21VydFLVH3TRQUabQu_ym0Zz7PgGX0-kHA/edit?usp=sharing"",""แผน!HI80"")"),224)</f>
        <v>224</v>
      </c>
      <c r="J594" s="192">
        <f>J596+J604+J610</f>
        <v>224</v>
      </c>
      <c r="K594" s="411">
        <f ca="1">IF(I594&gt;0,J594*100/I594,0)</f>
        <v>100</v>
      </c>
      <c r="L594" s="162"/>
      <c r="M594" s="162"/>
      <c r="N594" s="162"/>
      <c r="O594" s="162"/>
      <c r="P594" s="162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253</v>
      </c>
      <c r="D595" s="617"/>
      <c r="E595" s="617"/>
      <c r="F595" s="625"/>
      <c r="G595" s="761"/>
      <c r="H595" s="763" t="s">
        <v>46</v>
      </c>
      <c r="I595" s="183"/>
      <c r="J595" s="183">
        <f>J597+J599</f>
        <v>0</v>
      </c>
      <c r="K595" s="162"/>
      <c r="L595" s="162"/>
      <c r="M595" s="162"/>
      <c r="N595" s="162"/>
      <c r="O595" s="162"/>
      <c r="P595" s="162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3"/>
      <c r="J596" s="183">
        <f>J598+J600</f>
        <v>0</v>
      </c>
      <c r="K596" s="162"/>
      <c r="L596" s="162"/>
      <c r="M596" s="162"/>
      <c r="N596" s="162"/>
      <c r="O596" s="162"/>
      <c r="P596" s="162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254</v>
      </c>
      <c r="E597" s="625"/>
      <c r="F597" s="625"/>
      <c r="G597" s="761"/>
      <c r="H597" s="763" t="s">
        <v>46</v>
      </c>
      <c r="I597" s="183"/>
      <c r="J597" s="214">
        <v>0</v>
      </c>
      <c r="K597" s="162"/>
      <c r="L597" s="162"/>
      <c r="M597" s="162"/>
      <c r="N597" s="162"/>
      <c r="O597" s="162"/>
      <c r="P597" s="162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69"/>
      <c r="J598" s="214">
        <v>0</v>
      </c>
      <c r="K598" s="162"/>
      <c r="L598" s="162"/>
      <c r="M598" s="162"/>
      <c r="N598" s="162"/>
      <c r="O598" s="162"/>
      <c r="P598" s="162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255</v>
      </c>
      <c r="E599" s="625"/>
      <c r="F599" s="625"/>
      <c r="G599" s="761"/>
      <c r="H599" s="763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256</v>
      </c>
      <c r="E601" s="625"/>
      <c r="F601" s="625"/>
      <c r="G601" s="761"/>
      <c r="H601" s="763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257</v>
      </c>
      <c r="D603" s="617"/>
      <c r="E603" s="617"/>
      <c r="F603" s="625"/>
      <c r="G603" s="761"/>
      <c r="H603" s="763" t="s">
        <v>46</v>
      </c>
      <c r="I603" s="269"/>
      <c r="J603" s="269">
        <f>J605+J607</f>
        <v>1539.76</v>
      </c>
      <c r="K603" s="162"/>
      <c r="L603" s="162"/>
      <c r="M603" s="162"/>
      <c r="N603" s="162"/>
      <c r="O603" s="162"/>
      <c r="P603" s="162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69"/>
      <c r="J604" s="269">
        <f>J606+J608</f>
        <v>224</v>
      </c>
      <c r="K604" s="162"/>
      <c r="L604" s="162"/>
      <c r="M604" s="162"/>
      <c r="N604" s="162"/>
      <c r="O604" s="162"/>
      <c r="P604" s="162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258</v>
      </c>
      <c r="E605" s="625"/>
      <c r="F605" s="625"/>
      <c r="G605" s="761"/>
      <c r="H605" s="763" t="s">
        <v>46</v>
      </c>
      <c r="I605" s="269"/>
      <c r="J605" s="214">
        <v>1539.76</v>
      </c>
      <c r="K605" s="162"/>
      <c r="L605" s="162"/>
      <c r="M605" s="162"/>
      <c r="N605" s="162"/>
      <c r="O605" s="162"/>
      <c r="P605" s="162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69"/>
      <c r="J606" s="214">
        <v>224</v>
      </c>
      <c r="K606" s="162"/>
      <c r="L606" s="162"/>
      <c r="M606" s="162"/>
      <c r="N606" s="162"/>
      <c r="O606" s="162"/>
      <c r="P606" s="162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259</v>
      </c>
      <c r="E607" s="617"/>
      <c r="F607" s="625"/>
      <c r="G607" s="761"/>
      <c r="H607" s="763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260</v>
      </c>
      <c r="D609" s="617"/>
      <c r="E609" s="617"/>
      <c r="F609" s="625"/>
      <c r="G609" s="761"/>
      <c r="H609" s="763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261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262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>J614+J616</f>
        <v>0</v>
      </c>
      <c r="K612" s="716">
        <f>IF(I612&gt;0,J612*100/I612,0)</f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263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>J615+J617</f>
        <v>0</v>
      </c>
      <c r="K613" s="716">
        <f>IF(I613&gt;0,J613*100/I613,0)</f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264</v>
      </c>
      <c r="E614" s="615"/>
      <c r="F614" s="719"/>
      <c r="G614" s="365"/>
      <c r="H614" s="369" t="s">
        <v>46</v>
      </c>
      <c r="I614" s="616"/>
      <c r="J614" s="616">
        <v>0</v>
      </c>
      <c r="K614" s="166"/>
      <c r="L614" s="166"/>
      <c r="M614" s="166"/>
      <c r="N614" s="166"/>
      <c r="O614" s="166"/>
      <c r="P614" s="166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5"/>
      <c r="H615" s="369" t="s">
        <v>34</v>
      </c>
      <c r="I615" s="616"/>
      <c r="J615" s="616">
        <v>0</v>
      </c>
      <c r="K615" s="166"/>
      <c r="L615" s="166"/>
      <c r="M615" s="166"/>
      <c r="N615" s="166"/>
      <c r="O615" s="166"/>
      <c r="P615" s="166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264</v>
      </c>
      <c r="E616" s="719"/>
      <c r="F616" s="719"/>
      <c r="G616" s="365"/>
      <c r="H616" s="369" t="s">
        <v>46</v>
      </c>
      <c r="I616" s="616"/>
      <c r="J616" s="616">
        <v>0</v>
      </c>
      <c r="K616" s="166"/>
      <c r="L616" s="166"/>
      <c r="M616" s="166"/>
      <c r="N616" s="166"/>
      <c r="O616" s="166"/>
      <c r="P616" s="166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5"/>
      <c r="H617" s="369" t="s">
        <v>34</v>
      </c>
      <c r="I617" s="616"/>
      <c r="J617" s="616">
        <v>0</v>
      </c>
      <c r="K617" s="166"/>
      <c r="L617" s="166"/>
      <c r="M617" s="166"/>
      <c r="N617" s="166"/>
      <c r="O617" s="166"/>
      <c r="P617" s="166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265</v>
      </c>
      <c r="E618" s="719"/>
      <c r="F618" s="719"/>
      <c r="G618" s="365"/>
      <c r="H618" s="369" t="s">
        <v>46</v>
      </c>
      <c r="I618" s="616"/>
      <c r="J618" s="616">
        <v>0</v>
      </c>
      <c r="K618" s="166"/>
      <c r="L618" s="166"/>
      <c r="M618" s="166"/>
      <c r="N618" s="166"/>
      <c r="O618" s="166"/>
      <c r="P618" s="166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5"/>
      <c r="H619" s="369" t="s">
        <v>34</v>
      </c>
      <c r="I619" s="616"/>
      <c r="J619" s="616">
        <v>0</v>
      </c>
      <c r="K619" s="166"/>
      <c r="L619" s="166"/>
      <c r="M619" s="166"/>
      <c r="N619" s="166"/>
      <c r="O619" s="166"/>
      <c r="P619" s="166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266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IFERROR(__xludf.DUMMYFUNCTION("IMPORTRANGE(""https://docs.google.com/spreadsheets/d/1QqKyyYR6Q21VydFLVH3TRQUabQu_ym0Zz7PgGX0-kHA/edit?usp=sharing"",""แผน!HL80"")"),0)</f>
        <v>0</v>
      </c>
      <c r="J620" s="727">
        <f>J622+J624+J626</f>
        <v>0</v>
      </c>
      <c r="K620" s="728">
        <f ca="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267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IFERROR(__xludf.DUMMYFUNCTION("IMPORTRANGE(""https://docs.google.com/spreadsheets/d/1QqKyyYR6Q21VydFLVH3TRQUabQu_ym0Zz7PgGX0-kHA/edit?usp=sharing"",""แผน!HK80"")"),0)</f>
        <v>0</v>
      </c>
      <c r="J621" s="727">
        <f>J623+J625+J627</f>
        <v>0</v>
      </c>
      <c r="K621" s="728">
        <f ca="1">IF(I621&gt;0,J621*100/I621,0)</f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268</v>
      </c>
      <c r="E622" s="625"/>
      <c r="F622" s="625"/>
      <c r="G622" s="761"/>
      <c r="H622" s="763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264</v>
      </c>
      <c r="E624" s="625"/>
      <c r="F624" s="625"/>
      <c r="G624" s="761"/>
      <c r="H624" s="763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269</v>
      </c>
      <c r="E626" s="625"/>
      <c r="F626" s="625"/>
      <c r="G626" s="761"/>
      <c r="H626" s="763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2" t="s">
        <v>34</v>
      </c>
      <c r="I627" s="505"/>
      <c r="J627" s="424">
        <v>0</v>
      </c>
      <c r="K627" s="384"/>
      <c r="L627" s="384"/>
      <c r="M627" s="384"/>
      <c r="N627" s="384"/>
      <c r="O627" s="384"/>
      <c r="P627" s="384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270</v>
      </c>
      <c r="C628" s="737"/>
      <c r="D628" s="737"/>
      <c r="E628" s="737"/>
      <c r="F628" s="737"/>
      <c r="G628" s="738"/>
      <c r="H628" s="739" t="s">
        <v>35</v>
      </c>
      <c r="I628" s="740">
        <f ca="1">I651</f>
        <v>0</v>
      </c>
      <c r="J628" s="740">
        <f ca="1">J651</f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87" t="s">
        <v>17</v>
      </c>
      <c r="E629" s="888"/>
      <c r="F629" s="888"/>
      <c r="G629" s="188"/>
      <c r="H629" s="597" t="s">
        <v>12</v>
      </c>
      <c r="I629" s="269"/>
      <c r="J629" s="269"/>
      <c r="K629" s="497"/>
      <c r="L629" s="194">
        <f ca="1">L630+L631</f>
        <v>0</v>
      </c>
      <c r="M629" s="194">
        <f>M630+M631</f>
        <v>0</v>
      </c>
      <c r="N629" s="194">
        <f>N630+N631</f>
        <v>0</v>
      </c>
      <c r="O629" s="194">
        <f t="shared" ref="O629:O634" ca="1" si="90">IF(L629&gt;0,N629*100/L629,0)</f>
        <v>0</v>
      </c>
      <c r="P629" s="194">
        <f t="shared" ref="P629:P634" si="91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184</v>
      </c>
      <c r="F630" s="758"/>
      <c r="G630" s="602"/>
      <c r="H630" s="164" t="s">
        <v>12</v>
      </c>
      <c r="I630" s="616"/>
      <c r="J630" s="616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185</v>
      </c>
      <c r="F631" s="758"/>
      <c r="G631" s="602"/>
      <c r="H631" s="164" t="s">
        <v>12</v>
      </c>
      <c r="I631" s="616"/>
      <c r="J631" s="616"/>
      <c r="K631" s="92"/>
      <c r="L631" s="92">
        <f t="shared" ca="1" si="92"/>
        <v>0</v>
      </c>
      <c r="M631" s="92">
        <f t="shared" si="92"/>
        <v>0</v>
      </c>
      <c r="N631" s="92">
        <f t="shared" si="92"/>
        <v>0</v>
      </c>
      <c r="O631" s="92">
        <f t="shared" ca="1" si="90"/>
        <v>0</v>
      </c>
      <c r="P631" s="92">
        <f t="shared" si="91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8"/>
      <c r="H632" s="160" t="s">
        <v>12</v>
      </c>
      <c r="I632" s="183"/>
      <c r="J632" s="183"/>
      <c r="K632" s="162"/>
      <c r="L632" s="497">
        <f ca="1">L633+L634</f>
        <v>0</v>
      </c>
      <c r="M632" s="497">
        <f>M633+M634</f>
        <v>0</v>
      </c>
      <c r="N632" s="497">
        <f>N633+N634</f>
        <v>0</v>
      </c>
      <c r="O632" s="497">
        <f t="shared" ca="1" si="90"/>
        <v>0</v>
      </c>
      <c r="P632" s="497">
        <f t="shared" si="91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184</v>
      </c>
      <c r="F633" s="758"/>
      <c r="G633" s="602"/>
      <c r="H633" s="164" t="s">
        <v>12</v>
      </c>
      <c r="I633" s="616"/>
      <c r="J633" s="616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185</v>
      </c>
      <c r="F634" s="758"/>
      <c r="G634" s="602"/>
      <c r="H634" s="164" t="s">
        <v>12</v>
      </c>
      <c r="I634" s="616"/>
      <c r="J634" s="616"/>
      <c r="K634" s="92"/>
      <c r="L634" s="92">
        <f ca="1">IFERROR(__xludf.DUMMYFUNCTION("IMPORTRANGE(""https://docs.google.com/spreadsheets/d/1QqKyyYR6Q21VydFLVH3TRQUabQu_ym0Zz7PgGX0-kHA/edit?usp=sharing"",""แผน!HN80"")"),0)</f>
        <v>0</v>
      </c>
      <c r="M634" s="92">
        <v>0</v>
      </c>
      <c r="N634" s="92">
        <f>N635+N636+N637+N638</f>
        <v>0</v>
      </c>
      <c r="O634" s="92">
        <f t="shared" ca="1" si="90"/>
        <v>0</v>
      </c>
      <c r="P634" s="92">
        <f t="shared" si="91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826">
        <v>0</v>
      </c>
      <c r="O635" s="497"/>
      <c r="P635" s="497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826">
        <v>0</v>
      </c>
      <c r="O636" s="497"/>
      <c r="P636" s="497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826">
        <v>0</v>
      </c>
      <c r="O637" s="497"/>
      <c r="P637" s="497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826">
        <v>0</v>
      </c>
      <c r="O638" s="497"/>
      <c r="P638" s="497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IFERROR(__xludf.DUMMYFUNCTION("IMPORTRANGE(""https://docs.google.com/spreadsheets/d/1QqKyyYR6Q21VydFLVH3TRQUabQu_ym0Zz7PgGX0-kHA/edit?usp=sharing"",""แผน!HQ80"")"),0)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41" t="s">
        <v>38</v>
      </c>
      <c r="E642" s="760"/>
      <c r="F642" s="760"/>
      <c r="G642" s="612"/>
      <c r="H642" s="761"/>
      <c r="I642" s="183"/>
      <c r="J642" s="183"/>
      <c r="K642" s="162"/>
      <c r="L642" s="162"/>
      <c r="M642" s="162"/>
      <c r="N642" s="162"/>
      <c r="O642" s="162"/>
      <c r="P642" s="162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271</v>
      </c>
      <c r="F643" s="625"/>
      <c r="G643" s="761"/>
      <c r="H643" s="763" t="s">
        <v>272</v>
      </c>
      <c r="I643" s="269">
        <f ca="1">IFERROR(__xludf.DUMMYFUNCTION("IMPORTRANGE(""https://docs.google.com/spreadsheets/d/1QqKyyYR6Q21VydFLVH3TRQUabQu_ym0Zz7PgGX0-kHA/edit?usp=sharing"",""แผน!HR80"")"),0)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273</v>
      </c>
      <c r="F644" s="625"/>
      <c r="G644" s="761"/>
      <c r="H644" s="763" t="s">
        <v>274</v>
      </c>
      <c r="I644" s="269">
        <f ca="1">IFERROR(__xludf.DUMMYFUNCTION("IMPORTRANGE(""https://docs.google.com/spreadsheets/d/1QqKyyYR6Q21VydFLVH3TRQUabQu_ym0Zz7PgGX0-kHA/edit?usp=sharing"",""แผน!HR80"")"),0)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275</v>
      </c>
      <c r="F645" s="625"/>
      <c r="G645" s="761"/>
      <c r="H645" s="763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IFERROR(__xludf.DUMMYFUNCTION("IMPORTRANGE(""https://docs.google.com/spreadsheets/d/1XWAQStnk-4SwqDmLtmXYiTMKHgktTP8We1SCoS47DrQ/edit?usp=sharing"",""จัดที่ดิน!AS80"")"),0)</f>
        <v>0</v>
      </c>
      <c r="K645" s="162">
        <f t="shared" si="93"/>
        <v>0</v>
      </c>
      <c r="L645" s="162"/>
      <c r="M645" s="162"/>
      <c r="N645" s="497"/>
      <c r="O645" s="162"/>
      <c r="P645" s="162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IFERROR(__xludf.DUMMYFUNCTION("IMPORTRANGE(""https://docs.google.com/spreadsheets/d/1XWAQStnk-4SwqDmLtmXYiTMKHgktTP8We1SCoS47DrQ/edit?usp=sharing"",""จัดที่ดิน!AT80"")"),0)</f>
        <v>0</v>
      </c>
      <c r="K646" s="497">
        <f t="shared" si="93"/>
        <v>0</v>
      </c>
      <c r="L646" s="162"/>
      <c r="M646" s="162"/>
      <c r="N646" s="497"/>
      <c r="O646" s="162"/>
      <c r="P646" s="162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69">
        <f ca="1">IFERROR(__xludf.DUMMYFUNCTION("IMPORTRANGE(""https://docs.google.com/spreadsheets/d/1QqKyyYR6Q21VydFLVH3TRQUabQu_ym0Zz7PgGX0-kHA/edit?usp=sharing"",""แผน!HS80"")"),0)</f>
        <v>0</v>
      </c>
      <c r="J647" s="269">
        <f ca="1">IFERROR(__xludf.DUMMYFUNCTION("IMPORTRANGE(""https://docs.google.com/spreadsheets/d/1XWAQStnk-4SwqDmLtmXYiTMKHgktTP8We1SCoS47DrQ/edit?usp=sharing"",""จัดที่ดิน!AU80"")"),0)</f>
        <v>0</v>
      </c>
      <c r="K647" s="162">
        <f t="shared" ca="1" si="93"/>
        <v>0</v>
      </c>
      <c r="L647" s="162"/>
      <c r="M647" s="162"/>
      <c r="N647" s="162"/>
      <c r="O647" s="162"/>
      <c r="P647" s="162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IFERROR(__xludf.DUMMYFUNCTION("IMPORTRANGE(""https://docs.google.com/spreadsheets/d/1XWAQStnk-4SwqDmLtmXYiTMKHgktTP8We1SCoS47DrQ/edit?usp=sharing"",""จัดที่ดิน!AV80"")"),0)</f>
        <v>0</v>
      </c>
      <c r="K648" s="497">
        <f t="shared" si="93"/>
        <v>0</v>
      </c>
      <c r="L648" s="162"/>
      <c r="M648" s="162"/>
      <c r="N648" s="162"/>
      <c r="O648" s="162"/>
      <c r="P648" s="162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276</v>
      </c>
      <c r="F649" s="625"/>
      <c r="G649" s="761"/>
      <c r="H649" s="763" t="s">
        <v>35</v>
      </c>
      <c r="I649" s="269">
        <f ca="1">IFERROR(__xludf.DUMMYFUNCTION("IMPORTRANGE(""https://docs.google.com/spreadsheets/d/1QqKyyYR6Q21VydFLVH3TRQUabQu_ym0Zz7PgGX0-kHA/edit?usp=sharing"",""แผน!HS80"")"),0)</f>
        <v>0</v>
      </c>
      <c r="J649" s="269">
        <f ca="1">IFERROR(__xludf.DUMMYFUNCTION("IMPORTRANGE(""https://docs.google.com/spreadsheets/d/1XWAQStnk-4SwqDmLtmXYiTMKHgktTP8We1SCoS47DrQ/edit?usp=sharing"",""จัดที่ดิน!AW80"")"),0)</f>
        <v>0</v>
      </c>
      <c r="K649" s="162">
        <f t="shared" ca="1" si="93"/>
        <v>0</v>
      </c>
      <c r="L649" s="162"/>
      <c r="M649" s="162"/>
      <c r="N649" s="162"/>
      <c r="O649" s="162"/>
      <c r="P649" s="162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IFERROR(__xludf.DUMMYFUNCTION("IMPORTRANGE(""https://docs.google.com/spreadsheets/d/1XWAQStnk-4SwqDmLtmXYiTMKHgktTP8We1SCoS47DrQ/edit?usp=sharing"",""จัดที่ดิน!AX80"")"),0)</f>
        <v>0</v>
      </c>
      <c r="K650" s="497">
        <f t="shared" si="93"/>
        <v>0</v>
      </c>
      <c r="L650" s="162"/>
      <c r="M650" s="162"/>
      <c r="N650" s="162"/>
      <c r="O650" s="162"/>
      <c r="P650" s="162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277</v>
      </c>
      <c r="F651" s="625"/>
      <c r="G651" s="761"/>
      <c r="H651" s="763" t="s">
        <v>35</v>
      </c>
      <c r="I651" s="269">
        <f ca="1">IFERROR(__xludf.DUMMYFUNCTION("IMPORTRANGE(""https://docs.google.com/spreadsheets/d/1QqKyyYR6Q21VydFLVH3TRQUabQu_ym0Zz7PgGX0-kHA/edit?usp=sharing"",""แผน!HS80"")"),0)</f>
        <v>0</v>
      </c>
      <c r="J651" s="269">
        <f ca="1">IFERROR(__xludf.DUMMYFUNCTION("IMPORTRANGE(""https://docs.google.com/spreadsheets/d/1XWAQStnk-4SwqDmLtmXYiTMKHgktTP8We1SCoS47DrQ/edit?usp=sharing"",""จัดที่ดิน!AY80"")"),0)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827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IFERROR(__xludf.DUMMYFUNCTION("IMPORTRANGE(""https://docs.google.com/spreadsheets/d/1XWAQStnk-4SwqDmLtmXYiTMKHgktTP8We1SCoS47DrQ/edit?usp=sharing"",""จัดที่ดิน!AZ80"")"),0)</f>
        <v>0</v>
      </c>
      <c r="K652" s="506">
        <f t="shared" si="93"/>
        <v>0</v>
      </c>
      <c r="L652" s="384"/>
      <c r="M652" s="384"/>
      <c r="N652" s="384"/>
      <c r="O652" s="384"/>
      <c r="P652" s="384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278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279</v>
      </c>
      <c r="C654" s="672"/>
      <c r="D654" s="672"/>
      <c r="E654" s="672"/>
      <c r="F654" s="672"/>
      <c r="G654" s="673"/>
      <c r="H654" s="706" t="s">
        <v>46</v>
      </c>
      <c r="I654" s="707">
        <f ca="1">I669</f>
        <v>50</v>
      </c>
      <c r="J654" s="707">
        <f>J669</f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887" t="s">
        <v>17</v>
      </c>
      <c r="E655" s="888"/>
      <c r="F655" s="888"/>
      <c r="G655" s="188"/>
      <c r="H655" s="597" t="s">
        <v>12</v>
      </c>
      <c r="I655" s="269"/>
      <c r="J655" s="269"/>
      <c r="K655" s="497"/>
      <c r="L655" s="194">
        <f ca="1">L656+L657</f>
        <v>11000</v>
      </c>
      <c r="M655" s="194">
        <f ca="1">M656+M657</f>
        <v>6616</v>
      </c>
      <c r="N655" s="194">
        <f>N656+N657</f>
        <v>6616</v>
      </c>
      <c r="O655" s="194">
        <f t="shared" ref="O655:O660" ca="1" si="94">IF(L655&gt;0,N655*100/L655,0)</f>
        <v>60.145454545454548</v>
      </c>
      <c r="P655" s="194">
        <f t="shared" ref="P655:P660" ca="1" si="95">IF(M655&gt;0,N655*100/M655,0)</f>
        <v>100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184</v>
      </c>
      <c r="F656" s="758"/>
      <c r="G656" s="602"/>
      <c r="H656" s="164" t="s">
        <v>12</v>
      </c>
      <c r="I656" s="616"/>
      <c r="J656" s="616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185</v>
      </c>
      <c r="F657" s="758"/>
      <c r="G657" s="602"/>
      <c r="H657" s="164" t="s">
        <v>12</v>
      </c>
      <c r="I657" s="616"/>
      <c r="J657" s="616"/>
      <c r="K657" s="92"/>
      <c r="L657" s="92">
        <f t="shared" ca="1" si="96"/>
        <v>11000</v>
      </c>
      <c r="M657" s="92">
        <f t="shared" ca="1" si="96"/>
        <v>6616</v>
      </c>
      <c r="N657" s="92">
        <f t="shared" si="96"/>
        <v>6616</v>
      </c>
      <c r="O657" s="92">
        <f t="shared" ca="1" si="94"/>
        <v>60.145454545454548</v>
      </c>
      <c r="P657" s="92">
        <f t="shared" ca="1" si="95"/>
        <v>100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8"/>
      <c r="H658" s="160" t="s">
        <v>12</v>
      </c>
      <c r="I658" s="183"/>
      <c r="J658" s="183"/>
      <c r="K658" s="162"/>
      <c r="L658" s="497">
        <f ca="1">L659+L660</f>
        <v>11000</v>
      </c>
      <c r="M658" s="497">
        <f ca="1">M659+M660</f>
        <v>6616</v>
      </c>
      <c r="N658" s="497">
        <f>N659+N660</f>
        <v>6616</v>
      </c>
      <c r="O658" s="497">
        <f t="shared" ca="1" si="94"/>
        <v>60.145454545454548</v>
      </c>
      <c r="P658" s="497">
        <f t="shared" ca="1" si="95"/>
        <v>100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184</v>
      </c>
      <c r="F659" s="758"/>
      <c r="G659" s="602"/>
      <c r="H659" s="164" t="s">
        <v>12</v>
      </c>
      <c r="I659" s="616"/>
      <c r="J659" s="616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185</v>
      </c>
      <c r="F660" s="758"/>
      <c r="G660" s="602"/>
      <c r="H660" s="164" t="s">
        <v>12</v>
      </c>
      <c r="I660" s="616"/>
      <c r="J660" s="616"/>
      <c r="K660" s="92"/>
      <c r="L660" s="92">
        <f ca="1">IFERROR(__xludf.DUMMYFUNCTION("IMPORTRANGE(""https://docs.google.com/spreadsheets/d/1QqKyyYR6Q21VydFLVH3TRQUabQu_ym0Zz7PgGX0-kHA/edit?usp=sharing"",""แผน!HV80"")"),11000)</f>
        <v>11000</v>
      </c>
      <c r="M660" s="92">
        <f ca="1">L660-4384</f>
        <v>6616</v>
      </c>
      <c r="N660" s="92">
        <f>N661+N662+N663+N664</f>
        <v>6616</v>
      </c>
      <c r="O660" s="92">
        <f t="shared" ca="1" si="94"/>
        <v>60.145454545454548</v>
      </c>
      <c r="P660" s="92">
        <f t="shared" ca="1" si="95"/>
        <v>100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826">
        <v>0</v>
      </c>
      <c r="O661" s="497"/>
      <c r="P661" s="497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826">
        <v>0</v>
      </c>
      <c r="O662" s="497"/>
      <c r="P662" s="497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826">
        <v>0</v>
      </c>
      <c r="O663" s="497"/>
      <c r="P663" s="497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826">
        <v>6616</v>
      </c>
      <c r="O664" s="497"/>
      <c r="P664" s="497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40" t="s">
        <v>38</v>
      </c>
      <c r="E668" s="760"/>
      <c r="F668" s="760"/>
      <c r="G668" s="612"/>
      <c r="H668" s="761"/>
      <c r="I668" s="183"/>
      <c r="J668" s="183"/>
      <c r="K668" s="162"/>
      <c r="L668" s="162"/>
      <c r="M668" s="162"/>
      <c r="N668" s="162"/>
      <c r="O668" s="162"/>
      <c r="P668" s="162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280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IFERROR(__xludf.DUMMYFUNCTION("IMPORTRANGE(""https://docs.google.com/spreadsheets/d/1QqKyyYR6Q21VydFLVH3TRQUabQu_ym0Zz7PgGX0-kHA/edit?usp=sharing"",""แผน!IA80"")"),50)</f>
        <v>50</v>
      </c>
      <c r="J669" s="680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281</v>
      </c>
      <c r="F670" s="625"/>
      <c r="G670" s="761"/>
      <c r="H670" s="763" t="s">
        <v>66</v>
      </c>
      <c r="I670" s="269">
        <f ca="1">IFERROR(__xludf.DUMMYFUNCTION("IMPORTRANGE(""https://docs.google.com/spreadsheets/d/1QqKyyYR6Q21VydFLVH3TRQUabQu_ym0Zz7PgGX0-kHA/edit?usp=sharing"",""แผน!HZ80"")"),5)</f>
        <v>5</v>
      </c>
      <c r="J670" s="214">
        <v>5</v>
      </c>
      <c r="K670" s="497">
        <f ca="1">IF(I670&gt;0,(J670*100)/I670,0)</f>
        <v>100</v>
      </c>
      <c r="L670" s="162"/>
      <c r="M670" s="162"/>
      <c r="N670" s="162"/>
      <c r="O670" s="162"/>
      <c r="P670" s="162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282</v>
      </c>
      <c r="F671" s="625"/>
      <c r="G671" s="761"/>
      <c r="H671" s="763" t="s">
        <v>66</v>
      </c>
      <c r="I671" s="269">
        <f ca="1">IFERROR(__xludf.DUMMYFUNCTION("IMPORTRANGE(""https://docs.google.com/spreadsheets/d/1QqKyyYR6Q21VydFLVH3TRQUabQu_ym0Zz7PgGX0-kHA/edit?usp=sharing"",""แผน!HZ80"")"),5)</f>
        <v>5</v>
      </c>
      <c r="J671" s="214">
        <v>5</v>
      </c>
      <c r="K671" s="497">
        <f ca="1">IF(I$671&gt;0,J671*100/I$671,0)</f>
        <v>100</v>
      </c>
      <c r="L671" s="162"/>
      <c r="M671" s="162"/>
      <c r="N671" s="162"/>
      <c r="O671" s="162"/>
      <c r="P671" s="162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283</v>
      </c>
      <c r="F672" s="625"/>
      <c r="G672" s="761"/>
      <c r="H672" s="763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284</v>
      </c>
      <c r="F673" s="625"/>
      <c r="G673" s="761"/>
      <c r="H673" s="763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285</v>
      </c>
      <c r="F674" s="625"/>
      <c r="G674" s="761"/>
      <c r="H674" s="763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286</v>
      </c>
      <c r="F675" s="625"/>
      <c r="G675" s="761"/>
      <c r="H675" s="763" t="s">
        <v>46</v>
      </c>
      <c r="I675" s="269"/>
      <c r="J675" s="680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287</v>
      </c>
      <c r="G676" s="761"/>
      <c r="H676" s="763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288</v>
      </c>
      <c r="G677" s="761"/>
      <c r="H677" s="763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289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IFERROR(__xludf.DUMMYFUNCTION("IMPORTRANGE(""https://docs.google.com/spreadsheets/d/1QqKyyYR6Q21VydFLVH3TRQUabQu_ym0Zz7PgGX0-kHA/edit?usp=sharing"",""แผน!IB80"")"),0)</f>
        <v>0</v>
      </c>
      <c r="J678" s="680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290</v>
      </c>
      <c r="F679" s="625"/>
      <c r="G679" s="761"/>
      <c r="H679" s="763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287</v>
      </c>
      <c r="G680" s="761"/>
      <c r="H680" s="763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288</v>
      </c>
      <c r="G681" s="761"/>
      <c r="H681" s="763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291</v>
      </c>
      <c r="F682" s="625"/>
      <c r="G682" s="761"/>
      <c r="H682" s="763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292</v>
      </c>
      <c r="G683" s="761"/>
      <c r="H683" s="763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>
      <c r="A684" s="752"/>
      <c r="B684" s="753" t="s">
        <v>293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>
      <c r="A685" s="596"/>
      <c r="B685" s="762"/>
      <c r="C685" s="762" t="s">
        <v>16</v>
      </c>
      <c r="D685" s="887" t="s">
        <v>17</v>
      </c>
      <c r="E685" s="888"/>
      <c r="F685" s="888"/>
      <c r="G685" s="188"/>
      <c r="H685" s="597" t="s">
        <v>12</v>
      </c>
      <c r="I685" s="269"/>
      <c r="J685" s="269"/>
      <c r="K685" s="497"/>
      <c r="L685" s="194">
        <f ca="1">L686+L687</f>
        <v>23560</v>
      </c>
      <c r="M685" s="194">
        <f ca="1">M686+M687</f>
        <v>21640</v>
      </c>
      <c r="N685" s="194">
        <f>N686+N687</f>
        <v>21640</v>
      </c>
      <c r="O685" s="194">
        <f ca="1">IF(L685&gt;0,N685*100/L685,0)</f>
        <v>91.850594227504246</v>
      </c>
      <c r="P685" s="194">
        <f ca="1">IF(M685&gt;0,N685*100/M685,0)</f>
        <v>100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184</v>
      </c>
      <c r="F686" s="758"/>
      <c r="G686" s="602"/>
      <c r="H686" s="164" t="s">
        <v>12</v>
      </c>
      <c r="I686" s="616"/>
      <c r="J686" s="616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185</v>
      </c>
      <c r="F687" s="758"/>
      <c r="G687" s="602"/>
      <c r="H687" s="164" t="s">
        <v>12</v>
      </c>
      <c r="I687" s="616"/>
      <c r="J687" s="616"/>
      <c r="K687" s="92"/>
      <c r="L687" s="92">
        <f t="shared" ca="1" si="97"/>
        <v>23560</v>
      </c>
      <c r="M687" s="92">
        <f t="shared" ca="1" si="97"/>
        <v>21640</v>
      </c>
      <c r="N687" s="92">
        <f t="shared" si="97"/>
        <v>21640</v>
      </c>
      <c r="O687" s="92">
        <f ca="1">IF(L687&gt;0,N687*100/L687,0)</f>
        <v>91.850594227504246</v>
      </c>
      <c r="P687" s="92">
        <f ca="1">IF(M687&gt;0,N687*100/M687,0)</f>
        <v>100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>
      <c r="A688" s="596"/>
      <c r="B688" s="574"/>
      <c r="C688" s="762"/>
      <c r="D688" s="605" t="s">
        <v>20</v>
      </c>
      <c r="E688" s="762"/>
      <c r="F688" s="762"/>
      <c r="G688" s="188"/>
      <c r="H688" s="160" t="s">
        <v>12</v>
      </c>
      <c r="I688" s="183"/>
      <c r="J688" s="183"/>
      <c r="K688" s="162"/>
      <c r="L688" s="497">
        <f ca="1">L689+L690</f>
        <v>23560</v>
      </c>
      <c r="M688" s="497">
        <f ca="1">M689+M690</f>
        <v>21640</v>
      </c>
      <c r="N688" s="497">
        <f>N689+N690</f>
        <v>21640</v>
      </c>
      <c r="O688" s="497">
        <f ca="1">IF(L688&gt;0,N688*100/L688,0)</f>
        <v>91.850594227504246</v>
      </c>
      <c r="P688" s="497">
        <f ca="1">IF(M688&gt;0,N688*100/M688,0)</f>
        <v>100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184</v>
      </c>
      <c r="F689" s="758"/>
      <c r="G689" s="602"/>
      <c r="H689" s="164" t="s">
        <v>12</v>
      </c>
      <c r="I689" s="616"/>
      <c r="J689" s="616"/>
      <c r="K689" s="92"/>
      <c r="L689" s="92">
        <v>0</v>
      </c>
      <c r="M689" s="92">
        <v>0</v>
      </c>
      <c r="N689" s="92">
        <v>0</v>
      </c>
      <c r="O689" s="92"/>
      <c r="P689" s="92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185</v>
      </c>
      <c r="F690" s="758"/>
      <c r="G690" s="602"/>
      <c r="H690" s="164" t="s">
        <v>12</v>
      </c>
      <c r="I690" s="616"/>
      <c r="J690" s="616"/>
      <c r="K690" s="92"/>
      <c r="L690" s="92">
        <f ca="1">IFERROR(__xludf.DUMMYFUNCTION("IMPORTRANGE(""https://docs.google.com/spreadsheets/d/1QqKyyYR6Q21VydFLVH3TRQUabQu_ym0Zz7PgGX0-kHA/edit?usp=sharing"",""แผน!HW80"")"),23560)</f>
        <v>23560</v>
      </c>
      <c r="M690" s="92">
        <f ca="1">L690-1920</f>
        <v>21640</v>
      </c>
      <c r="N690" s="92">
        <f>N691+N692+N693+N694</f>
        <v>21640</v>
      </c>
      <c r="O690" s="92">
        <f ca="1">IF(L690&gt;0,N690*100/L690,0)</f>
        <v>91.850594227504246</v>
      </c>
      <c r="P690" s="92">
        <f ca="1">IF(M690&gt;0,N690*100/M690,0)</f>
        <v>100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>
      <c r="A691" s="573"/>
      <c r="B691" s="574"/>
      <c r="C691" s="762"/>
      <c r="D691" s="762"/>
      <c r="E691" s="762"/>
      <c r="F691" s="762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826">
        <v>0</v>
      </c>
      <c r="O691" s="497"/>
      <c r="P691" s="497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>
      <c r="A692" s="573"/>
      <c r="B692" s="574"/>
      <c r="C692" s="762"/>
      <c r="D692" s="762"/>
      <c r="E692" s="762"/>
      <c r="F692" s="762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826">
        <v>0</v>
      </c>
      <c r="O692" s="497"/>
      <c r="P692" s="497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>
      <c r="A693" s="573"/>
      <c r="B693" s="574"/>
      <c r="C693" s="762"/>
      <c r="D693" s="762"/>
      <c r="E693" s="762"/>
      <c r="F693" s="762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826">
        <v>0</v>
      </c>
      <c r="O693" s="497"/>
      <c r="P693" s="497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>
      <c r="A694" s="573"/>
      <c r="B694" s="574"/>
      <c r="C694" s="762"/>
      <c r="D694" s="762"/>
      <c r="E694" s="762"/>
      <c r="F694" s="762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826">
        <v>21640</v>
      </c>
      <c r="O694" s="497"/>
      <c r="P694" s="497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>
      <c r="A695" s="596"/>
      <c r="B695" s="574"/>
      <c r="C695" s="762"/>
      <c r="D695" s="605" t="s">
        <v>21</v>
      </c>
      <c r="E695" s="762"/>
      <c r="F695" s="762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>
      <c r="A698" s="607"/>
      <c r="B698" s="617"/>
      <c r="C698" s="762" t="s">
        <v>16</v>
      </c>
      <c r="D698" s="838" t="s">
        <v>38</v>
      </c>
      <c r="E698" s="760"/>
      <c r="F698" s="760"/>
      <c r="G698" s="612"/>
      <c r="H698" s="761"/>
      <c r="I698" s="183"/>
      <c r="J698" s="183"/>
      <c r="K698" s="162"/>
      <c r="L698" s="162"/>
      <c r="M698" s="162"/>
      <c r="N698" s="162"/>
      <c r="O698" s="162"/>
      <c r="P698" s="162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>
      <c r="A699" s="743"/>
      <c r="B699" s="762"/>
      <c r="C699" s="762"/>
      <c r="D699" s="762" t="s">
        <v>294</v>
      </c>
      <c r="E699" s="762"/>
      <c r="F699" s="762"/>
      <c r="G699" s="188"/>
      <c r="H699" s="763" t="s">
        <v>46</v>
      </c>
      <c r="I699" s="764">
        <f ca="1">IFERROR(__xludf.DUMMYFUNCTION("IMPORTRANGE(""https://docs.google.com/spreadsheets/d/1QqKyyYR6Q21VydFLVH3TRQUabQu_ym0Zz7PgGX0-kHA/edit?usp=sharing"",""แผน!IC80"")"),0)</f>
        <v>0</v>
      </c>
      <c r="J699" s="269">
        <f ca="1">IFERROR(__xludf.DUMMYFUNCTION("IMPORTRANGE(""https://docs.google.com/spreadsheets/d/1XWAQStnk-4SwqDmLtmXYiTMKHgktTP8We1SCoS47DrQ/edit?usp=sharing"",""จัดที่ดิน!BB80"")"),0)</f>
        <v>0</v>
      </c>
      <c r="K699" s="497">
        <f ca="1">IF(I699&gt;0,J699*100/I699,0)</f>
        <v>0</v>
      </c>
      <c r="L699" s="497"/>
      <c r="M699" s="188"/>
      <c r="N699" s="765"/>
      <c r="O699" s="497"/>
      <c r="P699" s="497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>
      <c r="A700" s="743"/>
      <c r="B700" s="762"/>
      <c r="C700" s="762"/>
      <c r="D700" s="762" t="s">
        <v>295</v>
      </c>
      <c r="E700" s="762"/>
      <c r="F700" s="762"/>
      <c r="G700" s="188"/>
      <c r="H700" s="763" t="s">
        <v>35</v>
      </c>
      <c r="I700" s="764">
        <f ca="1">IFERROR(__xludf.DUMMYFUNCTION("IMPORTRANGE(""https://docs.google.com/spreadsheets/d/1QqKyyYR6Q21VydFLVH3TRQUabQu_ym0Zz7PgGX0-kHA/edit?usp=sharing"",""แผน!ID80"")"),1)</f>
        <v>1</v>
      </c>
      <c r="J700" s="269">
        <f ca="1">IFERROR(__xludf.DUMMYFUNCTION("IMPORTRANGE(""https://docs.google.com/spreadsheets/d/1XWAQStnk-4SwqDmLtmXYiTMKHgktTP8We1SCoS47DrQ/edit?usp=sharing"",""จัดที่ดิน!BD80"")"),0)</f>
        <v>0</v>
      </c>
      <c r="K700" s="497">
        <f ca="1">IF(I700&gt;0,J700*100/I700,0)</f>
        <v>0</v>
      </c>
      <c r="L700" s="497"/>
      <c r="M700" s="188"/>
      <c r="N700" s="765"/>
      <c r="O700" s="497"/>
      <c r="P700" s="497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>
      <c r="A701" s="743"/>
      <c r="B701" s="762"/>
      <c r="C701" s="762"/>
      <c r="D701" s="762" t="s">
        <v>296</v>
      </c>
      <c r="E701" s="762"/>
      <c r="F701" s="762"/>
      <c r="G701" s="188"/>
      <c r="H701" s="766" t="s">
        <v>46</v>
      </c>
      <c r="I701" s="767">
        <f ca="1">IFERROR(__xludf.DUMMYFUNCTION("IMPORTRANGE(""https://docs.google.com/spreadsheets/d/1QqKyyYR6Q21VydFLVH3TRQUabQu_ym0Zz7PgGX0-kHA/edit?usp=sharing"",""แผน!IE80"")"),0)</f>
        <v>0</v>
      </c>
      <c r="J701" s="680">
        <f>J704+J707</f>
        <v>0</v>
      </c>
      <c r="K701" s="194">
        <f ca="1">IF(I701&gt;0,J701*100/I701,0)</f>
        <v>0</v>
      </c>
      <c r="L701" s="497"/>
      <c r="M701" s="188"/>
      <c r="N701" s="765"/>
      <c r="O701" s="497"/>
      <c r="P701" s="497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>
      <c r="A702" s="743"/>
      <c r="B702" s="762"/>
      <c r="C702" s="762"/>
      <c r="D702" s="762"/>
      <c r="E702" s="762" t="s">
        <v>297</v>
      </c>
      <c r="F702" s="762"/>
      <c r="G702" s="188"/>
      <c r="H702" s="763" t="s">
        <v>35</v>
      </c>
      <c r="I702" s="764"/>
      <c r="J702" s="214">
        <v>0</v>
      </c>
      <c r="K702" s="497"/>
      <c r="L702" s="497"/>
      <c r="M702" s="188"/>
      <c r="N702" s="765"/>
      <c r="O702" s="497"/>
      <c r="P702" s="497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>
      <c r="A703" s="743"/>
      <c r="B703" s="762"/>
      <c r="C703" s="762"/>
      <c r="D703" s="762"/>
      <c r="E703" s="762"/>
      <c r="F703" s="762"/>
      <c r="G703" s="188"/>
      <c r="H703" s="763" t="s">
        <v>34</v>
      </c>
      <c r="I703" s="764"/>
      <c r="J703" s="214">
        <v>0</v>
      </c>
      <c r="K703" s="497"/>
      <c r="L703" s="497"/>
      <c r="M703" s="188"/>
      <c r="N703" s="765"/>
      <c r="O703" s="497"/>
      <c r="P703" s="497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>
      <c r="A704" s="743"/>
      <c r="B704" s="762"/>
      <c r="C704" s="762"/>
      <c r="D704" s="762"/>
      <c r="E704" s="762"/>
      <c r="F704" s="762"/>
      <c r="G704" s="188"/>
      <c r="H704" s="763" t="s">
        <v>46</v>
      </c>
      <c r="I704" s="764">
        <f ca="1">IFERROR(__xludf.DUMMYFUNCTION("IMPORTRANGE(""https://docs.google.com/spreadsheets/d/1QqKyyYR6Q21VydFLVH3TRQUabQu_ym0Zz7PgGX0-kHA/edit?usp=sharing"",""แผน!IF80"")"),0)</f>
        <v>0</v>
      </c>
      <c r="J704" s="214">
        <v>0</v>
      </c>
      <c r="K704" s="497"/>
      <c r="L704" s="497"/>
      <c r="M704" s="188"/>
      <c r="N704" s="765"/>
      <c r="O704" s="497"/>
      <c r="P704" s="497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>
      <c r="A705" s="743"/>
      <c r="B705" s="762"/>
      <c r="C705" s="762"/>
      <c r="D705" s="762"/>
      <c r="E705" s="762" t="s">
        <v>298</v>
      </c>
      <c r="F705" s="762"/>
      <c r="G705" s="188"/>
      <c r="H705" s="763" t="s">
        <v>35</v>
      </c>
      <c r="I705" s="764"/>
      <c r="J705" s="214">
        <v>0</v>
      </c>
      <c r="K705" s="497"/>
      <c r="L705" s="497"/>
      <c r="M705" s="188"/>
      <c r="N705" s="765"/>
      <c r="O705" s="497"/>
      <c r="P705" s="497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>
      <c r="A706" s="743"/>
      <c r="B706" s="762"/>
      <c r="C706" s="762"/>
      <c r="D706" s="762"/>
      <c r="E706" s="762"/>
      <c r="F706" s="762"/>
      <c r="G706" s="188"/>
      <c r="H706" s="763" t="s">
        <v>34</v>
      </c>
      <c r="I706" s="764"/>
      <c r="J706" s="214">
        <v>0</v>
      </c>
      <c r="K706" s="497"/>
      <c r="L706" s="497"/>
      <c r="M706" s="188"/>
      <c r="N706" s="765"/>
      <c r="O706" s="497"/>
      <c r="P706" s="497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>
      <c r="A707" s="743"/>
      <c r="B707" s="762"/>
      <c r="C707" s="762"/>
      <c r="D707" s="762"/>
      <c r="E707" s="762"/>
      <c r="F707" s="762"/>
      <c r="G707" s="188"/>
      <c r="H707" s="763" t="s">
        <v>46</v>
      </c>
      <c r="I707" s="764">
        <f ca="1">IFERROR(__xludf.DUMMYFUNCTION("IMPORTRANGE(""https://docs.google.com/spreadsheets/d/1QqKyyYR6Q21VydFLVH3TRQUabQu_ym0Zz7PgGX0-kHA/edit?usp=sharing"",""แผน!IG80"")"),0)</f>
        <v>0</v>
      </c>
      <c r="J707" s="214">
        <v>0</v>
      </c>
      <c r="K707" s="497"/>
      <c r="L707" s="497"/>
      <c r="M707" s="188"/>
      <c r="N707" s="765"/>
      <c r="O707" s="497"/>
      <c r="P707" s="497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>
      <c r="A708" s="743"/>
      <c r="B708" s="762"/>
      <c r="C708" s="762"/>
      <c r="D708" s="768" t="s">
        <v>299</v>
      </c>
      <c r="E708" s="762"/>
      <c r="F708" s="762"/>
      <c r="G708" s="188"/>
      <c r="H708" s="766" t="s">
        <v>46</v>
      </c>
      <c r="I708" s="767">
        <f ca="1">IFERROR(__xludf.DUMMYFUNCTION("IMPORTRANGE(""https://docs.google.com/spreadsheets/d/1QqKyyYR6Q21VydFLVH3TRQUabQu_ym0Zz7PgGX0-kHA/edit?usp=sharing"",""แผน!IH80"")"),0)</f>
        <v>0</v>
      </c>
      <c r="J708" s="680">
        <f>J714+J717</f>
        <v>0</v>
      </c>
      <c r="K708" s="194">
        <f ca="1">IF(I708&gt;0,J708*100/I708,0)</f>
        <v>0</v>
      </c>
      <c r="L708" s="497"/>
      <c r="M708" s="188"/>
      <c r="N708" s="765"/>
      <c r="O708" s="497"/>
      <c r="P708" s="497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>
      <c r="A709" s="743"/>
      <c r="B709" s="762"/>
      <c r="C709" s="762"/>
      <c r="D709" s="762"/>
      <c r="E709" s="762" t="s">
        <v>300</v>
      </c>
      <c r="F709" s="762"/>
      <c r="G709" s="188"/>
      <c r="H709" s="763" t="s">
        <v>34</v>
      </c>
      <c r="I709" s="764"/>
      <c r="J709" s="214">
        <v>0</v>
      </c>
      <c r="K709" s="497"/>
      <c r="L709" s="765"/>
      <c r="M709" s="188"/>
      <c r="N709" s="765"/>
      <c r="O709" s="497"/>
      <c r="P709" s="497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>
      <c r="A710" s="743"/>
      <c r="B710" s="762"/>
      <c r="C710" s="762"/>
      <c r="D710" s="762"/>
      <c r="E710" s="762"/>
      <c r="F710" s="762"/>
      <c r="G710" s="188"/>
      <c r="H710" s="763" t="s">
        <v>46</v>
      </c>
      <c r="I710" s="764"/>
      <c r="J710" s="214">
        <v>0</v>
      </c>
      <c r="K710" s="497"/>
      <c r="L710" s="765"/>
      <c r="M710" s="188"/>
      <c r="N710" s="765"/>
      <c r="O710" s="497"/>
      <c r="P710" s="497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>
      <c r="A711" s="743"/>
      <c r="B711" s="762"/>
      <c r="C711" s="762"/>
      <c r="D711" s="762"/>
      <c r="E711" s="762" t="s">
        <v>301</v>
      </c>
      <c r="F711" s="762"/>
      <c r="G711" s="188"/>
      <c r="H711" s="761"/>
      <c r="I711" s="764"/>
      <c r="J711" s="269"/>
      <c r="K711" s="497"/>
      <c r="L711" s="765"/>
      <c r="M711" s="188"/>
      <c r="N711" s="765"/>
      <c r="O711" s="497"/>
      <c r="P711" s="497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>
      <c r="A712" s="743"/>
      <c r="B712" s="762"/>
      <c r="C712" s="762"/>
      <c r="D712" s="762"/>
      <c r="E712" s="762"/>
      <c r="F712" s="762" t="s">
        <v>302</v>
      </c>
      <c r="G712" s="188"/>
      <c r="H712" s="763" t="s">
        <v>35</v>
      </c>
      <c r="I712" s="764"/>
      <c r="J712" s="214">
        <v>0</v>
      </c>
      <c r="K712" s="497"/>
      <c r="L712" s="765"/>
      <c r="M712" s="188"/>
      <c r="N712" s="765"/>
      <c r="O712" s="497"/>
      <c r="P712" s="497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>
      <c r="A713" s="743"/>
      <c r="B713" s="762"/>
      <c r="C713" s="762"/>
      <c r="D713" s="762"/>
      <c r="E713" s="762"/>
      <c r="F713" s="762"/>
      <c r="G713" s="188"/>
      <c r="H713" s="763" t="s">
        <v>34</v>
      </c>
      <c r="I713" s="764"/>
      <c r="J713" s="214">
        <v>0</v>
      </c>
      <c r="K713" s="497"/>
      <c r="L713" s="765"/>
      <c r="M713" s="188"/>
      <c r="N713" s="765"/>
      <c r="O713" s="497"/>
      <c r="P713" s="497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>
      <c r="A714" s="743"/>
      <c r="B714" s="762"/>
      <c r="C714" s="762"/>
      <c r="D714" s="762"/>
      <c r="E714" s="762"/>
      <c r="F714" s="762"/>
      <c r="G714" s="188"/>
      <c r="H714" s="763" t="s">
        <v>46</v>
      </c>
      <c r="I714" s="764"/>
      <c r="J714" s="214">
        <v>0</v>
      </c>
      <c r="K714" s="497"/>
      <c r="L714" s="765"/>
      <c r="M714" s="188"/>
      <c r="N714" s="765"/>
      <c r="O714" s="497"/>
      <c r="P714" s="497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>
      <c r="A715" s="743"/>
      <c r="B715" s="762"/>
      <c r="C715" s="762"/>
      <c r="D715" s="762"/>
      <c r="E715" s="762"/>
      <c r="F715" s="762" t="s">
        <v>303</v>
      </c>
      <c r="G715" s="188"/>
      <c r="H715" s="763" t="s">
        <v>35</v>
      </c>
      <c r="I715" s="764"/>
      <c r="J715" s="214">
        <v>0</v>
      </c>
      <c r="K715" s="497"/>
      <c r="L715" s="765"/>
      <c r="M715" s="188"/>
      <c r="N715" s="765"/>
      <c r="O715" s="497"/>
      <c r="P715" s="497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>
      <c r="A716" s="743"/>
      <c r="B716" s="762"/>
      <c r="C716" s="762"/>
      <c r="D716" s="762"/>
      <c r="E716" s="762"/>
      <c r="F716" s="762"/>
      <c r="G716" s="188"/>
      <c r="H716" s="763" t="s">
        <v>34</v>
      </c>
      <c r="I716" s="764"/>
      <c r="J716" s="214">
        <v>0</v>
      </c>
      <c r="K716" s="497"/>
      <c r="L716" s="765"/>
      <c r="M716" s="188"/>
      <c r="N716" s="765"/>
      <c r="O716" s="497"/>
      <c r="P716" s="497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>
      <c r="A717" s="743"/>
      <c r="B717" s="762"/>
      <c r="C717" s="762"/>
      <c r="D717" s="762"/>
      <c r="E717" s="762"/>
      <c r="F717" s="762"/>
      <c r="G717" s="188"/>
      <c r="H717" s="763" t="s">
        <v>46</v>
      </c>
      <c r="I717" s="764"/>
      <c r="J717" s="214">
        <v>0</v>
      </c>
      <c r="K717" s="497"/>
      <c r="L717" s="765"/>
      <c r="M717" s="188"/>
      <c r="N717" s="765"/>
      <c r="O717" s="497"/>
      <c r="P717" s="497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>
      <c r="A718" s="743"/>
      <c r="B718" s="762"/>
      <c r="C718" s="762"/>
      <c r="D718" s="762" t="s">
        <v>304</v>
      </c>
      <c r="E718" s="762"/>
      <c r="F718" s="762"/>
      <c r="G718" s="188"/>
      <c r="H718" s="763" t="s">
        <v>35</v>
      </c>
      <c r="I718" s="764"/>
      <c r="J718" s="269">
        <f ca="1">IFERROR(__xludf.DUMMYFUNCTION("IMPORTRANGE(""https://docs.google.com/spreadsheets/d/1XWAQStnk-4SwqDmLtmXYiTMKHgktTP8We1SCoS47DrQ/edit?usp=sharing"",""จัดที่ดิน!BF80"")"),0)</f>
        <v>0</v>
      </c>
      <c r="K718" s="497"/>
      <c r="L718" s="497"/>
      <c r="M718" s="188"/>
      <c r="N718" s="765"/>
      <c r="O718" s="497"/>
      <c r="P718" s="497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>
      <c r="A719" s="743"/>
      <c r="B719" s="762"/>
      <c r="C719" s="762"/>
      <c r="D719" s="762"/>
      <c r="E719" s="762"/>
      <c r="F719" s="762"/>
      <c r="G719" s="188"/>
      <c r="H719" s="763" t="s">
        <v>34</v>
      </c>
      <c r="I719" s="764"/>
      <c r="J719" s="269">
        <f ca="1">IFERROR(__xludf.DUMMYFUNCTION("IMPORTRANGE(""https://docs.google.com/spreadsheets/d/1XWAQStnk-4SwqDmLtmXYiTMKHgktTP8We1SCoS47DrQ/edit?usp=sharing"",""จัดที่ดิน!BG80"")"),0)</f>
        <v>0</v>
      </c>
      <c r="K719" s="497"/>
      <c r="L719" s="765"/>
      <c r="M719" s="188"/>
      <c r="N719" s="765"/>
      <c r="O719" s="497"/>
      <c r="P719" s="497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>
      <c r="A720" s="743"/>
      <c r="B720" s="762"/>
      <c r="C720" s="762"/>
      <c r="D720" s="762"/>
      <c r="E720" s="762"/>
      <c r="F720" s="762"/>
      <c r="G720" s="188"/>
      <c r="H720" s="763" t="s">
        <v>46</v>
      </c>
      <c r="I720" s="764">
        <f ca="1">IFERROR(__xludf.DUMMYFUNCTION("IMPORTRANGE(""https://docs.google.com/spreadsheets/d/1QqKyyYR6Q21VydFLVH3TRQUabQu_ym0Zz7PgGX0-kHA/edit?usp=sharing"",""แผน!II80"")"),0)</f>
        <v>0</v>
      </c>
      <c r="J720" s="269">
        <f ca="1">IFERROR(__xludf.DUMMYFUNCTION("IMPORTRANGE(""https://docs.google.com/spreadsheets/d/1XWAQStnk-4SwqDmLtmXYiTMKHgktTP8We1SCoS47DrQ/edit?usp=sharing"",""จัดที่ดิน!BH80"")"),0)</f>
        <v>0</v>
      </c>
      <c r="K720" s="497">
        <f ca="1">IF(I720&gt;0,J720*100/I720,0)</f>
        <v>0</v>
      </c>
      <c r="L720" s="765"/>
      <c r="M720" s="188"/>
      <c r="N720" s="765"/>
      <c r="O720" s="497"/>
      <c r="P720" s="497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>
      <c r="A721" s="743"/>
      <c r="B721" s="762"/>
      <c r="C721" s="762"/>
      <c r="D721" s="762" t="s">
        <v>305</v>
      </c>
      <c r="E721" s="762"/>
      <c r="F721" s="762"/>
      <c r="G721" s="188"/>
      <c r="H721" s="766" t="s">
        <v>35</v>
      </c>
      <c r="I721" s="767">
        <f ca="1">IFERROR(__xludf.DUMMYFUNCTION("IMPORTRANGE(""https://docs.google.com/spreadsheets/d/1QqKyyYR6Q21VydFLVH3TRQUabQu_ym0Zz7PgGX0-kHA/edit?usp=sharing"",""แผน!IJ80"")"),87)</f>
        <v>87</v>
      </c>
      <c r="J721" s="680">
        <f ca="1">J723+J726</f>
        <v>38</v>
      </c>
      <c r="K721" s="194">
        <f ca="1">IF(I721&gt;0,J721*100/I721,0)</f>
        <v>43.678160919540232</v>
      </c>
      <c r="L721" s="765"/>
      <c r="M721" s="188"/>
      <c r="N721" s="765"/>
      <c r="O721" s="497"/>
      <c r="P721" s="497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>
      <c r="A722" s="743"/>
      <c r="B722" s="762"/>
      <c r="C722" s="762"/>
      <c r="D722" s="762"/>
      <c r="E722" s="762"/>
      <c r="F722" s="762"/>
      <c r="G722" s="188"/>
      <c r="H722" s="766" t="s">
        <v>46</v>
      </c>
      <c r="I722" s="767">
        <f ca="1">IFERROR(__xludf.DUMMYFUNCTION("IMPORTRANGE(""https://docs.google.com/spreadsheets/d/1QqKyyYR6Q21VydFLVH3TRQUabQu_ym0Zz7PgGX0-kHA/edit?usp=sharing"",""แผน!IK80"")"),332)</f>
        <v>332</v>
      </c>
      <c r="J722" s="680">
        <f ca="1">J725+J728</f>
        <v>195.803</v>
      </c>
      <c r="K722" s="194">
        <f ca="1">IF(I722&gt;0,J722*100/I722,0)</f>
        <v>58.976807228915661</v>
      </c>
      <c r="L722" s="497"/>
      <c r="M722" s="188"/>
      <c r="N722" s="765"/>
      <c r="O722" s="497"/>
      <c r="P722" s="497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>
      <c r="A723" s="743"/>
      <c r="B723" s="762"/>
      <c r="C723" s="762"/>
      <c r="D723" s="762"/>
      <c r="E723" s="762" t="s">
        <v>306</v>
      </c>
      <c r="F723" s="762"/>
      <c r="G723" s="188"/>
      <c r="H723" s="763" t="s">
        <v>35</v>
      </c>
      <c r="I723" s="764">
        <f ca="1">IFERROR(__xludf.DUMMYFUNCTION("IMPORTRANGE(""https://docs.google.com/spreadsheets/d/1QqKyyYR6Q21VydFLVH3TRQUabQu_ym0Zz7PgGX0-kHA/edit?usp=sharing"",""แผน!IL80"")"),50)</f>
        <v>50</v>
      </c>
      <c r="J723" s="269">
        <f ca="1">IFERROR(__xludf.DUMMYFUNCTION("IMPORTRANGE(""https://docs.google.com/spreadsheets/d/1XWAQStnk-4SwqDmLtmXYiTMKHgktTP8We1SCoS47DrQ/edit?usp=sharing"",""จัดที่ดิน!BM80"")"),37)</f>
        <v>37</v>
      </c>
      <c r="K723" s="497">
        <f ca="1">IF(I723&gt;0,J723*100/I723,0)</f>
        <v>74</v>
      </c>
      <c r="L723" s="497"/>
      <c r="M723" s="188"/>
      <c r="N723" s="765"/>
      <c r="O723" s="497"/>
      <c r="P723" s="497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>
      <c r="A724" s="743"/>
      <c r="B724" s="762"/>
      <c r="C724" s="762"/>
      <c r="D724" s="762"/>
      <c r="E724" s="762"/>
      <c r="F724" s="762"/>
      <c r="G724" s="188"/>
      <c r="H724" s="763" t="s">
        <v>34</v>
      </c>
      <c r="I724" s="764"/>
      <c r="J724" s="269">
        <f ca="1">IFERROR(__xludf.DUMMYFUNCTION("IMPORTRANGE(""https://docs.google.com/spreadsheets/d/1XWAQStnk-4SwqDmLtmXYiTMKHgktTP8We1SCoS47DrQ/edit?usp=sharing"",""จัดที่ดิน!BN80"")"),37)</f>
        <v>37</v>
      </c>
      <c r="K724" s="497"/>
      <c r="L724" s="765"/>
      <c r="M724" s="188"/>
      <c r="N724" s="765"/>
      <c r="O724" s="497"/>
      <c r="P724" s="497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>
      <c r="A725" s="743"/>
      <c r="B725" s="762"/>
      <c r="C725" s="762"/>
      <c r="D725" s="762"/>
      <c r="E725" s="762"/>
      <c r="F725" s="762"/>
      <c r="G725" s="188"/>
      <c r="H725" s="763" t="s">
        <v>46</v>
      </c>
      <c r="I725" s="764">
        <f ca="1">IFERROR(__xludf.DUMMYFUNCTION("IMPORTRANGE(""https://docs.google.com/spreadsheets/d/1QqKyyYR6Q21VydFLVH3TRQUabQu_ym0Zz7PgGX0-kHA/edit?usp=sharing"",""แผน!IM80"")"),212)</f>
        <v>212</v>
      </c>
      <c r="J725" s="269">
        <f ca="1">IFERROR(__xludf.DUMMYFUNCTION("IMPORTRANGE(""https://docs.google.com/spreadsheets/d/1XWAQStnk-4SwqDmLtmXYiTMKHgktTP8We1SCoS47DrQ/edit?usp=sharing"",""จัดที่ดิน!BO80"")"),193.728)</f>
        <v>193.72800000000001</v>
      </c>
      <c r="K725" s="497">
        <f ca="1">IF(I725&gt;0,J725*100/I725,0)</f>
        <v>91.381132075471697</v>
      </c>
      <c r="L725" s="765"/>
      <c r="M725" s="188"/>
      <c r="N725" s="765"/>
      <c r="O725" s="497"/>
      <c r="P725" s="497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>
      <c r="A726" s="743"/>
      <c r="B726" s="762"/>
      <c r="C726" s="762"/>
      <c r="D726" s="762"/>
      <c r="E726" s="762" t="s">
        <v>307</v>
      </c>
      <c r="F726" s="762"/>
      <c r="G726" s="188"/>
      <c r="H726" s="763" t="s">
        <v>35</v>
      </c>
      <c r="I726" s="764">
        <f ca="1">IFERROR(__xludf.DUMMYFUNCTION("IMPORTRANGE(""https://docs.google.com/spreadsheets/d/1QqKyyYR6Q21VydFLVH3TRQUabQu_ym0Zz7PgGX0-kHA/edit?usp=sharing"",""แผน!IN80"")"),37)</f>
        <v>37</v>
      </c>
      <c r="J726" s="269">
        <f ca="1">IFERROR(__xludf.DUMMYFUNCTION("IMPORTRANGE(""https://docs.google.com/spreadsheets/d/1XWAQStnk-4SwqDmLtmXYiTMKHgktTP8We1SCoS47DrQ/edit?usp=sharing"",""จัดที่ดิน!BR80"")"),1)</f>
        <v>1</v>
      </c>
      <c r="K726" s="497">
        <f ca="1">IF(I726&gt;0,J726*100/I726,0)</f>
        <v>2.7027027027027026</v>
      </c>
      <c r="L726" s="497"/>
      <c r="M726" s="188"/>
      <c r="N726" s="765"/>
      <c r="O726" s="497"/>
      <c r="P726" s="497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>
      <c r="A727" s="743"/>
      <c r="B727" s="762"/>
      <c r="C727" s="762"/>
      <c r="D727" s="762"/>
      <c r="E727" s="762"/>
      <c r="F727" s="762"/>
      <c r="G727" s="188"/>
      <c r="H727" s="763" t="s">
        <v>34</v>
      </c>
      <c r="I727" s="764"/>
      <c r="J727" s="269">
        <f ca="1">IFERROR(__xludf.DUMMYFUNCTION("IMPORTRANGE(""https://docs.google.com/spreadsheets/d/1XWAQStnk-4SwqDmLtmXYiTMKHgktTP8We1SCoS47DrQ/edit?usp=sharing"",""จัดที่ดิน!BS80"")"),1)</f>
        <v>1</v>
      </c>
      <c r="K727" s="497"/>
      <c r="L727" s="765"/>
      <c r="M727" s="188"/>
      <c r="N727" s="765"/>
      <c r="O727" s="497"/>
      <c r="P727" s="497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>
      <c r="A728" s="743"/>
      <c r="B728" s="762"/>
      <c r="C728" s="762"/>
      <c r="D728" s="762"/>
      <c r="E728" s="762"/>
      <c r="F728" s="762"/>
      <c r="G728" s="188"/>
      <c r="H728" s="763" t="s">
        <v>46</v>
      </c>
      <c r="I728" s="764">
        <f ca="1">IFERROR(__xludf.DUMMYFUNCTION("IMPORTRANGE(""https://docs.google.com/spreadsheets/d/1QqKyyYR6Q21VydFLVH3TRQUabQu_ym0Zz7PgGX0-kHA/edit?usp=sharing"",""แผน!IO80"")"),120)</f>
        <v>120</v>
      </c>
      <c r="J728" s="269">
        <f ca="1">IFERROR(__xludf.DUMMYFUNCTION("IMPORTRANGE(""https://docs.google.com/spreadsheets/d/1XWAQStnk-4SwqDmLtmXYiTMKHgktTP8We1SCoS47DrQ/edit?usp=sharing"",""จัดที่ดิน!BT80"")"),2.075)</f>
        <v>2.0750000000000002</v>
      </c>
      <c r="K728" s="497">
        <f ca="1">IF(I728&gt;0,J728*100/I728,0)</f>
        <v>1.729166666666667</v>
      </c>
      <c r="L728" s="765"/>
      <c r="M728" s="188"/>
      <c r="N728" s="765"/>
      <c r="O728" s="497"/>
      <c r="P728" s="497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>
      <c r="A729" s="743"/>
      <c r="B729" s="762"/>
      <c r="C729" s="762"/>
      <c r="D729" s="762" t="s">
        <v>308</v>
      </c>
      <c r="E729" s="762"/>
      <c r="F729" s="762"/>
      <c r="G729" s="188"/>
      <c r="H729" s="766" t="s">
        <v>46</v>
      </c>
      <c r="I729" s="767">
        <f ca="1">IFERROR(__xludf.DUMMYFUNCTION("IMPORTRANGE(""https://docs.google.com/spreadsheets/d/1QqKyyYR6Q21VydFLVH3TRQUabQu_ym0Zz7PgGX0-kHA/edit?usp=sharing"",""แผน!IP80"")"),0)</f>
        <v>0</v>
      </c>
      <c r="J729" s="680">
        <f>J732+J735</f>
        <v>0</v>
      </c>
      <c r="K729" s="194">
        <f ca="1">IF(I729&gt;0,J729*100/I729,0)</f>
        <v>0</v>
      </c>
      <c r="L729" s="497"/>
      <c r="M729" s="188"/>
      <c r="N729" s="765"/>
      <c r="O729" s="497"/>
      <c r="P729" s="497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>
      <c r="A730" s="743"/>
      <c r="B730" s="762"/>
      <c r="C730" s="762"/>
      <c r="D730" s="762"/>
      <c r="E730" s="762" t="s">
        <v>309</v>
      </c>
      <c r="F730" s="762"/>
      <c r="G730" s="188"/>
      <c r="H730" s="763" t="s">
        <v>35</v>
      </c>
      <c r="I730" s="764"/>
      <c r="J730" s="214">
        <v>0</v>
      </c>
      <c r="K730" s="497"/>
      <c r="L730" s="765"/>
      <c r="M730" s="497"/>
      <c r="N730" s="765"/>
      <c r="O730" s="497"/>
      <c r="P730" s="497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>
      <c r="A731" s="743"/>
      <c r="B731" s="762"/>
      <c r="C731" s="762"/>
      <c r="D731" s="762"/>
      <c r="E731" s="762"/>
      <c r="F731" s="762"/>
      <c r="G731" s="188"/>
      <c r="H731" s="763" t="s">
        <v>34</v>
      </c>
      <c r="I731" s="764"/>
      <c r="J731" s="214">
        <v>0</v>
      </c>
      <c r="K731" s="497"/>
      <c r="L731" s="765"/>
      <c r="M731" s="497"/>
      <c r="N731" s="765"/>
      <c r="O731" s="497"/>
      <c r="P731" s="497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>
      <c r="A732" s="743"/>
      <c r="B732" s="762"/>
      <c r="C732" s="762"/>
      <c r="D732" s="762"/>
      <c r="E732" s="762"/>
      <c r="F732" s="762"/>
      <c r="G732" s="188"/>
      <c r="H732" s="763" t="s">
        <v>46</v>
      </c>
      <c r="I732" s="764"/>
      <c r="J732" s="214">
        <v>0</v>
      </c>
      <c r="K732" s="497"/>
      <c r="L732" s="765"/>
      <c r="M732" s="497"/>
      <c r="N732" s="765"/>
      <c r="O732" s="497"/>
      <c r="P732" s="497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>
      <c r="A733" s="743"/>
      <c r="B733" s="762"/>
      <c r="C733" s="762"/>
      <c r="D733" s="762"/>
      <c r="E733" s="762" t="s">
        <v>310</v>
      </c>
      <c r="F733" s="762"/>
      <c r="G733" s="188"/>
      <c r="H733" s="763" t="s">
        <v>35</v>
      </c>
      <c r="I733" s="764"/>
      <c r="J733" s="214">
        <v>0</v>
      </c>
      <c r="K733" s="497"/>
      <c r="L733" s="765"/>
      <c r="M733" s="497"/>
      <c r="N733" s="765"/>
      <c r="O733" s="497"/>
      <c r="P733" s="497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>
      <c r="A734" s="743"/>
      <c r="B734" s="762"/>
      <c r="C734" s="762"/>
      <c r="D734" s="762"/>
      <c r="E734" s="762"/>
      <c r="F734" s="762"/>
      <c r="G734" s="188"/>
      <c r="H734" s="763" t="s">
        <v>34</v>
      </c>
      <c r="I734" s="764"/>
      <c r="J734" s="214">
        <v>0</v>
      </c>
      <c r="K734" s="497"/>
      <c r="L734" s="765"/>
      <c r="M734" s="497"/>
      <c r="N734" s="765"/>
      <c r="O734" s="497"/>
      <c r="P734" s="497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>
      <c r="A735" s="769"/>
      <c r="B735" s="770" t="s">
        <v>311</v>
      </c>
      <c r="C735" s="733"/>
      <c r="D735" s="733"/>
      <c r="E735" s="733"/>
      <c r="F735" s="733"/>
      <c r="G735" s="734"/>
      <c r="H735" s="422" t="s">
        <v>46</v>
      </c>
      <c r="I735" s="771"/>
      <c r="J735" s="424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312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92" t="s">
        <v>17</v>
      </c>
      <c r="E737" s="888"/>
      <c r="F737" s="888"/>
      <c r="G737" s="602"/>
      <c r="H737" s="645" t="s">
        <v>12</v>
      </c>
      <c r="I737" s="616"/>
      <c r="J737" s="616"/>
      <c r="K737" s="92"/>
      <c r="L737" s="646">
        <f>L738+L739</f>
        <v>0</v>
      </c>
      <c r="M737" s="646">
        <f>M738+M739</f>
        <v>0</v>
      </c>
      <c r="N737" s="646">
        <f>N738+N739</f>
        <v>0</v>
      </c>
      <c r="O737" s="646">
        <f t="shared" ref="O737:O742" si="98">IF(L737&gt;0,N737*100/L737,0)</f>
        <v>0</v>
      </c>
      <c r="P737" s="646">
        <f t="shared" ref="P737:P742" si="99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184</v>
      </c>
      <c r="F738" s="758"/>
      <c r="G738" s="602"/>
      <c r="H738" s="164" t="s">
        <v>12</v>
      </c>
      <c r="I738" s="616"/>
      <c r="J738" s="616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185</v>
      </c>
      <c r="F739" s="758"/>
      <c r="G739" s="602"/>
      <c r="H739" s="164" t="s">
        <v>12</v>
      </c>
      <c r="I739" s="616"/>
      <c r="J739" s="616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5"/>
      <c r="J740" s="165"/>
      <c r="K740" s="166"/>
      <c r="L740" s="646">
        <f>L741+L742</f>
        <v>0</v>
      </c>
      <c r="M740" s="646">
        <f>M741+M742</f>
        <v>0</v>
      </c>
      <c r="N740" s="646">
        <f>N741+N742</f>
        <v>0</v>
      </c>
      <c r="O740" s="646">
        <f t="shared" si="98"/>
        <v>0</v>
      </c>
      <c r="P740" s="646">
        <f t="shared" si="99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184</v>
      </c>
      <c r="F741" s="758"/>
      <c r="G741" s="602"/>
      <c r="H741" s="164" t="s">
        <v>12</v>
      </c>
      <c r="I741" s="616"/>
      <c r="J741" s="616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185</v>
      </c>
      <c r="F742" s="758"/>
      <c r="G742" s="602"/>
      <c r="H742" s="164" t="s">
        <v>12</v>
      </c>
      <c r="I742" s="616"/>
      <c r="J742" s="616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186</v>
      </c>
      <c r="G743" s="602"/>
      <c r="H743" s="164" t="s">
        <v>12</v>
      </c>
      <c r="I743" s="616"/>
      <c r="J743" s="616"/>
      <c r="K743" s="92"/>
      <c r="L743" s="92"/>
      <c r="M743" s="92"/>
      <c r="N743" s="92"/>
      <c r="O743" s="92"/>
      <c r="P743" s="92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187</v>
      </c>
      <c r="G744" s="602"/>
      <c r="H744" s="164" t="s">
        <v>12</v>
      </c>
      <c r="I744" s="616"/>
      <c r="J744" s="616"/>
      <c r="K744" s="92"/>
      <c r="L744" s="92"/>
      <c r="M744" s="92"/>
      <c r="N744" s="92"/>
      <c r="O744" s="92"/>
      <c r="P744" s="92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188</v>
      </c>
      <c r="G745" s="602"/>
      <c r="H745" s="164" t="s">
        <v>12</v>
      </c>
      <c r="I745" s="616"/>
      <c r="J745" s="616"/>
      <c r="K745" s="92"/>
      <c r="L745" s="92"/>
      <c r="M745" s="92"/>
      <c r="N745" s="92"/>
      <c r="O745" s="92"/>
      <c r="P745" s="92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189</v>
      </c>
      <c r="G746" s="602"/>
      <c r="H746" s="164" t="s">
        <v>12</v>
      </c>
      <c r="I746" s="616"/>
      <c r="J746" s="616"/>
      <c r="K746" s="92"/>
      <c r="L746" s="92"/>
      <c r="M746" s="92"/>
      <c r="N746" s="92"/>
      <c r="O746" s="92"/>
      <c r="P746" s="92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5"/>
      <c r="J747" s="165"/>
      <c r="K747" s="166"/>
      <c r="L747" s="646">
        <f>L748+L749</f>
        <v>0</v>
      </c>
      <c r="M747" s="646">
        <f>M748+M749</f>
        <v>0</v>
      </c>
      <c r="N747" s="646">
        <f>N748+N749</f>
        <v>0</v>
      </c>
      <c r="O747" s="646">
        <f>IF(L747&gt;0,N747*100/L747,0)</f>
        <v>0</v>
      </c>
      <c r="P747" s="646">
        <f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39" t="s">
        <v>38</v>
      </c>
      <c r="E750" s="650"/>
      <c r="F750" s="650"/>
      <c r="G750" s="651"/>
      <c r="H750" s="365"/>
      <c r="I750" s="165"/>
      <c r="J750" s="165"/>
      <c r="K750" s="166"/>
      <c r="L750" s="166"/>
      <c r="M750" s="166"/>
      <c r="N750" s="166"/>
      <c r="O750" s="166"/>
      <c r="P750" s="166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313</v>
      </c>
      <c r="F751" s="758"/>
      <c r="G751" s="602"/>
      <c r="H751" s="164" t="s">
        <v>46</v>
      </c>
      <c r="I751" s="616"/>
      <c r="J751" s="616"/>
      <c r="K751" s="92"/>
      <c r="L751" s="92"/>
      <c r="M751" s="92"/>
      <c r="N751" s="92"/>
      <c r="O751" s="92"/>
      <c r="P751" s="92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4" t="s">
        <v>314</v>
      </c>
      <c r="I752" s="616"/>
      <c r="J752" s="616"/>
      <c r="K752" s="92"/>
      <c r="L752" s="92"/>
      <c r="M752" s="92"/>
      <c r="N752" s="92"/>
      <c r="O752" s="92"/>
      <c r="P752" s="92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315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92" t="s">
        <v>17</v>
      </c>
      <c r="E754" s="888"/>
      <c r="F754" s="888"/>
      <c r="G754" s="602"/>
      <c r="H754" s="645" t="s">
        <v>12</v>
      </c>
      <c r="I754" s="616"/>
      <c r="J754" s="616"/>
      <c r="K754" s="92"/>
      <c r="L754" s="646">
        <f>L755+L756</f>
        <v>0</v>
      </c>
      <c r="M754" s="646">
        <f>M755+M756</f>
        <v>0</v>
      </c>
      <c r="N754" s="646">
        <f>N755+N756</f>
        <v>0</v>
      </c>
      <c r="O754" s="646">
        <f t="shared" ref="O754:O759" si="101">IF(L754&gt;0,N754*100/L754,0)</f>
        <v>0</v>
      </c>
      <c r="P754" s="646">
        <f t="shared" ref="P754:P759" si="102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184</v>
      </c>
      <c r="F755" s="758"/>
      <c r="G755" s="602"/>
      <c r="H755" s="164" t="s">
        <v>12</v>
      </c>
      <c r="I755" s="616"/>
      <c r="J755" s="616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185</v>
      </c>
      <c r="F756" s="758"/>
      <c r="G756" s="602"/>
      <c r="H756" s="164" t="s">
        <v>12</v>
      </c>
      <c r="I756" s="616"/>
      <c r="J756" s="616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5"/>
      <c r="J757" s="165"/>
      <c r="K757" s="166"/>
      <c r="L757" s="646">
        <f>L758+L759</f>
        <v>0</v>
      </c>
      <c r="M757" s="646">
        <f>M758+M759</f>
        <v>0</v>
      </c>
      <c r="N757" s="646">
        <f>N758+N759</f>
        <v>0</v>
      </c>
      <c r="O757" s="646">
        <f t="shared" si="101"/>
        <v>0</v>
      </c>
      <c r="P757" s="646">
        <f t="shared" si="102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184</v>
      </c>
      <c r="F758" s="758"/>
      <c r="G758" s="602"/>
      <c r="H758" s="164" t="s">
        <v>12</v>
      </c>
      <c r="I758" s="616"/>
      <c r="J758" s="616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185</v>
      </c>
      <c r="F759" s="758"/>
      <c r="G759" s="602"/>
      <c r="H759" s="164" t="s">
        <v>12</v>
      </c>
      <c r="I759" s="616"/>
      <c r="J759" s="616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186</v>
      </c>
      <c r="G760" s="602"/>
      <c r="H760" s="164" t="s">
        <v>12</v>
      </c>
      <c r="I760" s="616"/>
      <c r="J760" s="616"/>
      <c r="K760" s="92"/>
      <c r="L760" s="92"/>
      <c r="M760" s="92"/>
      <c r="N760" s="92"/>
      <c r="O760" s="92"/>
      <c r="P760" s="92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187</v>
      </c>
      <c r="G761" s="602"/>
      <c r="H761" s="164" t="s">
        <v>12</v>
      </c>
      <c r="I761" s="616"/>
      <c r="J761" s="616"/>
      <c r="K761" s="92"/>
      <c r="L761" s="92"/>
      <c r="M761" s="92"/>
      <c r="N761" s="92"/>
      <c r="O761" s="92"/>
      <c r="P761" s="92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188</v>
      </c>
      <c r="G762" s="602"/>
      <c r="H762" s="164" t="s">
        <v>12</v>
      </c>
      <c r="I762" s="616"/>
      <c r="J762" s="616"/>
      <c r="K762" s="92"/>
      <c r="L762" s="92"/>
      <c r="M762" s="92"/>
      <c r="N762" s="92"/>
      <c r="O762" s="92"/>
      <c r="P762" s="92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189</v>
      </c>
      <c r="G763" s="602"/>
      <c r="H763" s="164" t="s">
        <v>12</v>
      </c>
      <c r="I763" s="616"/>
      <c r="J763" s="616"/>
      <c r="K763" s="92"/>
      <c r="L763" s="92"/>
      <c r="M763" s="92"/>
      <c r="N763" s="92"/>
      <c r="O763" s="92"/>
      <c r="P763" s="92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5"/>
      <c r="J764" s="165"/>
      <c r="K764" s="166"/>
      <c r="L764" s="646">
        <f>L765+L766</f>
        <v>0</v>
      </c>
      <c r="M764" s="646">
        <f>M765+M766</f>
        <v>0</v>
      </c>
      <c r="N764" s="646">
        <f>N765+N766</f>
        <v>0</v>
      </c>
      <c r="O764" s="646">
        <f>IF(L764&gt;0,N764*100/L764,0)</f>
        <v>0</v>
      </c>
      <c r="P764" s="646">
        <f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39" t="s">
        <v>38</v>
      </c>
      <c r="E767" s="650"/>
      <c r="F767" s="650"/>
      <c r="G767" s="651"/>
      <c r="H767" s="365"/>
      <c r="I767" s="165"/>
      <c r="J767" s="165"/>
      <c r="K767" s="166"/>
      <c r="L767" s="166"/>
      <c r="M767" s="166"/>
      <c r="N767" s="166"/>
      <c r="O767" s="166"/>
      <c r="P767" s="166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316</v>
      </c>
      <c r="F768" s="758"/>
      <c r="G768" s="602"/>
      <c r="H768" s="164" t="s">
        <v>46</v>
      </c>
      <c r="I768" s="616"/>
      <c r="J768" s="616"/>
      <c r="K768" s="92"/>
      <c r="L768" s="92"/>
      <c r="M768" s="92"/>
      <c r="N768" s="92"/>
      <c r="O768" s="92"/>
      <c r="P768" s="92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317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92" t="s">
        <v>17</v>
      </c>
      <c r="E770" s="888"/>
      <c r="F770" s="888"/>
      <c r="G770" s="602"/>
      <c r="H770" s="645" t="s">
        <v>12</v>
      </c>
      <c r="I770" s="616"/>
      <c r="J770" s="616"/>
      <c r="K770" s="92"/>
      <c r="L770" s="646">
        <f>L771+L772</f>
        <v>0</v>
      </c>
      <c r="M770" s="646">
        <f>M771+M772</f>
        <v>0</v>
      </c>
      <c r="N770" s="646">
        <f>N771+N772</f>
        <v>0</v>
      </c>
      <c r="O770" s="646">
        <f t="shared" ref="O770:O775" si="104">IF(L770&gt;0,N770*100/L770,0)</f>
        <v>0</v>
      </c>
      <c r="P770" s="646">
        <f t="shared" ref="P770:P775" si="105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184</v>
      </c>
      <c r="F771" s="758"/>
      <c r="G771" s="602"/>
      <c r="H771" s="164" t="s">
        <v>12</v>
      </c>
      <c r="I771" s="616"/>
      <c r="J771" s="616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185</v>
      </c>
      <c r="F772" s="758"/>
      <c r="G772" s="602"/>
      <c r="H772" s="164" t="s">
        <v>12</v>
      </c>
      <c r="I772" s="616"/>
      <c r="J772" s="616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5"/>
      <c r="J773" s="165"/>
      <c r="K773" s="166"/>
      <c r="L773" s="646">
        <f>L774+L775</f>
        <v>0</v>
      </c>
      <c r="M773" s="646">
        <f>M774+M775</f>
        <v>0</v>
      </c>
      <c r="N773" s="646">
        <f>N774+N775</f>
        <v>0</v>
      </c>
      <c r="O773" s="646">
        <f t="shared" si="104"/>
        <v>0</v>
      </c>
      <c r="P773" s="646">
        <f t="shared" si="105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184</v>
      </c>
      <c r="F774" s="758"/>
      <c r="G774" s="602"/>
      <c r="H774" s="164" t="s">
        <v>12</v>
      </c>
      <c r="I774" s="616"/>
      <c r="J774" s="616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185</v>
      </c>
      <c r="F775" s="758"/>
      <c r="G775" s="602"/>
      <c r="H775" s="164" t="s">
        <v>12</v>
      </c>
      <c r="I775" s="616"/>
      <c r="J775" s="616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186</v>
      </c>
      <c r="G776" s="602"/>
      <c r="H776" s="164" t="s">
        <v>12</v>
      </c>
      <c r="I776" s="616"/>
      <c r="J776" s="616"/>
      <c r="K776" s="92"/>
      <c r="L776" s="92"/>
      <c r="M776" s="92"/>
      <c r="N776" s="92"/>
      <c r="O776" s="92"/>
      <c r="P776" s="92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187</v>
      </c>
      <c r="G777" s="602"/>
      <c r="H777" s="164" t="s">
        <v>12</v>
      </c>
      <c r="I777" s="616"/>
      <c r="J777" s="616"/>
      <c r="K777" s="92"/>
      <c r="L777" s="92"/>
      <c r="M777" s="92"/>
      <c r="N777" s="92"/>
      <c r="O777" s="92"/>
      <c r="P777" s="92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188</v>
      </c>
      <c r="G778" s="602"/>
      <c r="H778" s="164" t="s">
        <v>12</v>
      </c>
      <c r="I778" s="616"/>
      <c r="J778" s="616"/>
      <c r="K778" s="92"/>
      <c r="L778" s="92"/>
      <c r="M778" s="92"/>
      <c r="N778" s="92"/>
      <c r="O778" s="92"/>
      <c r="P778" s="92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189</v>
      </c>
      <c r="G779" s="602"/>
      <c r="H779" s="164" t="s">
        <v>12</v>
      </c>
      <c r="I779" s="616"/>
      <c r="J779" s="616"/>
      <c r="K779" s="92"/>
      <c r="L779" s="92"/>
      <c r="M779" s="92"/>
      <c r="N779" s="92"/>
      <c r="O779" s="92"/>
      <c r="P779" s="92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5"/>
      <c r="J780" s="165"/>
      <c r="K780" s="166"/>
      <c r="L780" s="646">
        <f>L781+L782</f>
        <v>0</v>
      </c>
      <c r="M780" s="646">
        <f>M781+M782</f>
        <v>0</v>
      </c>
      <c r="N780" s="646">
        <f>N781+N782</f>
        <v>0</v>
      </c>
      <c r="O780" s="646">
        <f>IF(L780&gt;0,N780*100/L780,0)</f>
        <v>0</v>
      </c>
      <c r="P780" s="646">
        <f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39" t="s">
        <v>38</v>
      </c>
      <c r="E783" s="650"/>
      <c r="F783" s="650"/>
      <c r="G783" s="651"/>
      <c r="H783" s="800"/>
      <c r="I783" s="165"/>
      <c r="J783" s="165"/>
      <c r="K783" s="166"/>
      <c r="L783" s="166"/>
      <c r="M783" s="166"/>
      <c r="N783" s="166"/>
      <c r="O783" s="166"/>
      <c r="P783" s="166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318</v>
      </c>
      <c r="F784" s="758"/>
      <c r="G784" s="602"/>
      <c r="H784" s="164" t="s">
        <v>46</v>
      </c>
      <c r="I784" s="616"/>
      <c r="J784" s="616"/>
      <c r="K784" s="92"/>
      <c r="L784" s="92"/>
      <c r="M784" s="92"/>
      <c r="N784" s="92"/>
      <c r="O784" s="92"/>
      <c r="P784" s="92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319</v>
      </c>
      <c r="C785" s="803"/>
      <c r="D785" s="803"/>
      <c r="E785" s="803"/>
      <c r="F785" s="803"/>
      <c r="G785" s="804"/>
      <c r="H785" s="805" t="s">
        <v>46</v>
      </c>
      <c r="I785" s="806">
        <f ca="1">I800</f>
        <v>0</v>
      </c>
      <c r="J785" s="807">
        <f ca="1">J800</f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87" t="s">
        <v>17</v>
      </c>
      <c r="E786" s="888"/>
      <c r="F786" s="888"/>
      <c r="G786" s="188"/>
      <c r="H786" s="597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184</v>
      </c>
      <c r="F787" s="758"/>
      <c r="G787" s="602"/>
      <c r="H787" s="164" t="s">
        <v>12</v>
      </c>
      <c r="I787" s="616"/>
      <c r="J787" s="616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185</v>
      </c>
      <c r="F788" s="758"/>
      <c r="G788" s="602"/>
      <c r="H788" s="164" t="s">
        <v>12</v>
      </c>
      <c r="I788" s="616"/>
      <c r="J788" s="616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184</v>
      </c>
      <c r="F790" s="758"/>
      <c r="G790" s="602"/>
      <c r="H790" s="164" t="s">
        <v>12</v>
      </c>
      <c r="I790" s="616"/>
      <c r="J790" s="616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185</v>
      </c>
      <c r="F791" s="758"/>
      <c r="G791" s="602"/>
      <c r="H791" s="164" t="s">
        <v>12</v>
      </c>
      <c r="I791" s="616"/>
      <c r="J791" s="616"/>
      <c r="K791" s="92"/>
      <c r="L791" s="92">
        <f ca="1">IFERROR(__xludf.DUMMYFUNCTION("IMPORTRANGE(""https://docs.google.com/spreadsheets/d/1QqKyyYR6Q21VydFLVH3TRQUabQu_ym0Zz7PgGX0-kHA/edit?usp=sharing"",""แผน!JJ80"")"),0)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826">
        <v>0</v>
      </c>
      <c r="O792" s="497"/>
      <c r="P792" s="497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826">
        <v>0</v>
      </c>
      <c r="O793" s="497"/>
      <c r="P793" s="497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826">
        <v>0</v>
      </c>
      <c r="O794" s="497"/>
      <c r="P794" s="497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826">
        <v>0</v>
      </c>
      <c r="O795" s="497"/>
      <c r="P795" s="497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38" t="s">
        <v>38</v>
      </c>
      <c r="E799" s="760"/>
      <c r="F799" s="760"/>
      <c r="G799" s="612"/>
      <c r="H799" s="810"/>
      <c r="I799" s="183"/>
      <c r="J799" s="183"/>
      <c r="K799" s="162"/>
      <c r="L799" s="162"/>
      <c r="M799" s="162"/>
      <c r="N799" s="162"/>
      <c r="O799" s="162"/>
      <c r="P799" s="162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320</v>
      </c>
      <c r="G800" s="761"/>
      <c r="H800" s="184" t="s">
        <v>46</v>
      </c>
      <c r="I800" s="183">
        <f ca="1">IFERROR(__xludf.DUMMYFUNCTION("IMPORTRANGE(""https://docs.google.com/spreadsheets/d/1QqKyyYR6Q21VydFLVH3TRQUabQu_ym0Zz7PgGX0-kHA/edit?usp=sharing"",""แผน!JN80"")"),0)</f>
        <v>0</v>
      </c>
      <c r="J800" s="183">
        <f ca="1">IFERROR(__xludf.DUMMYFUNCTION("IMPORTRANGE(""https://docs.google.com/spreadsheets/d/1MaWodYyGHDf7siQLGxnXhG4mBNTNIuy296niS2xXulU/edit?usp=sharing"",""RTK!H80"")"),0)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IFERROR(__xludf.DUMMYFUNCTION("IMPORTRANGE(""https://docs.google.com/spreadsheets/d/1MaWodYyGHDf7siQLGxnXhG4mBNTNIuy296niS2xXulU/edit?usp=sharing"",""RTK!I80"")"),0)</f>
        <v>0</v>
      </c>
      <c r="K801" s="497"/>
      <c r="L801" s="497"/>
      <c r="M801" s="497"/>
      <c r="N801" s="497"/>
      <c r="O801" s="162"/>
      <c r="P801" s="162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321</v>
      </c>
      <c r="G802" s="365"/>
      <c r="H802" s="652" t="s">
        <v>46</v>
      </c>
      <c r="I802" s="165"/>
      <c r="J802" s="616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5"/>
      <c r="H803" s="652" t="s">
        <v>34</v>
      </c>
      <c r="I803" s="165"/>
      <c r="J803" s="616">
        <v>0</v>
      </c>
      <c r="K803" s="166"/>
      <c r="L803" s="166"/>
      <c r="M803" s="166"/>
      <c r="N803" s="166"/>
      <c r="O803" s="166"/>
      <c r="P803" s="166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322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92" t="s">
        <v>17</v>
      </c>
      <c r="E805" s="888"/>
      <c r="F805" s="888"/>
      <c r="G805" s="602"/>
      <c r="H805" s="645" t="s">
        <v>12</v>
      </c>
      <c r="I805" s="616"/>
      <c r="J805" s="616"/>
      <c r="K805" s="92"/>
      <c r="L805" s="646">
        <f>L806+L807</f>
        <v>0</v>
      </c>
      <c r="M805" s="646">
        <f>M806+M807</f>
        <v>0</v>
      </c>
      <c r="N805" s="646">
        <f>N806+N807</f>
        <v>0</v>
      </c>
      <c r="O805" s="646">
        <f t="shared" ref="O805:O810" si="110">IF(L805&gt;0,N805*100/L805,0)</f>
        <v>0</v>
      </c>
      <c r="P805" s="646">
        <f t="shared" ref="P805:P810" si="111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184</v>
      </c>
      <c r="F806" s="758"/>
      <c r="G806" s="602"/>
      <c r="H806" s="164" t="s">
        <v>12</v>
      </c>
      <c r="I806" s="616"/>
      <c r="J806" s="616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185</v>
      </c>
      <c r="F807" s="758"/>
      <c r="G807" s="602"/>
      <c r="H807" s="164" t="s">
        <v>12</v>
      </c>
      <c r="I807" s="616"/>
      <c r="J807" s="616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912" t="s">
        <v>20</v>
      </c>
      <c r="E808" s="888"/>
      <c r="F808" s="888"/>
      <c r="G808" s="602"/>
      <c r="H808" s="645" t="s">
        <v>12</v>
      </c>
      <c r="I808" s="165"/>
      <c r="J808" s="165"/>
      <c r="K808" s="166"/>
      <c r="L808" s="646">
        <f>L809+L810</f>
        <v>0</v>
      </c>
      <c r="M808" s="646">
        <f>M809+M810</f>
        <v>0</v>
      </c>
      <c r="N808" s="646">
        <f>N809+N810</f>
        <v>0</v>
      </c>
      <c r="O808" s="646">
        <f t="shared" si="110"/>
        <v>0</v>
      </c>
      <c r="P808" s="646">
        <f t="shared" si="111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184</v>
      </c>
      <c r="F809" s="758"/>
      <c r="G809" s="602"/>
      <c r="H809" s="164" t="s">
        <v>12</v>
      </c>
      <c r="I809" s="616"/>
      <c r="J809" s="616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185</v>
      </c>
      <c r="F810" s="758"/>
      <c r="G810" s="602"/>
      <c r="H810" s="164" t="s">
        <v>12</v>
      </c>
      <c r="I810" s="616"/>
      <c r="J810" s="616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186</v>
      </c>
      <c r="G811" s="602"/>
      <c r="H811" s="164" t="s">
        <v>12</v>
      </c>
      <c r="I811" s="616"/>
      <c r="J811" s="616"/>
      <c r="K811" s="92"/>
      <c r="L811" s="92"/>
      <c r="M811" s="92"/>
      <c r="N811" s="92"/>
      <c r="O811" s="92"/>
      <c r="P811" s="92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187</v>
      </c>
      <c r="G812" s="602"/>
      <c r="H812" s="164" t="s">
        <v>12</v>
      </c>
      <c r="I812" s="616"/>
      <c r="J812" s="616"/>
      <c r="K812" s="92"/>
      <c r="L812" s="92"/>
      <c r="M812" s="92"/>
      <c r="N812" s="92"/>
      <c r="O812" s="92"/>
      <c r="P812" s="92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188</v>
      </c>
      <c r="G813" s="602"/>
      <c r="H813" s="164" t="s">
        <v>12</v>
      </c>
      <c r="I813" s="616"/>
      <c r="J813" s="616"/>
      <c r="K813" s="92"/>
      <c r="L813" s="92"/>
      <c r="M813" s="92"/>
      <c r="N813" s="92"/>
      <c r="O813" s="92"/>
      <c r="P813" s="92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189</v>
      </c>
      <c r="G814" s="602"/>
      <c r="H814" s="164" t="s">
        <v>12</v>
      </c>
      <c r="I814" s="616"/>
      <c r="J814" s="616"/>
      <c r="K814" s="92"/>
      <c r="L814" s="92"/>
      <c r="M814" s="92"/>
      <c r="N814" s="92"/>
      <c r="O814" s="92"/>
      <c r="P814" s="92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912" t="s">
        <v>21</v>
      </c>
      <c r="E815" s="888"/>
      <c r="F815" s="888"/>
      <c r="G815" s="602"/>
      <c r="H815" s="782" t="s">
        <v>12</v>
      </c>
      <c r="I815" s="165"/>
      <c r="J815" s="165"/>
      <c r="K815" s="166"/>
      <c r="L815" s="646">
        <f>L816+L817</f>
        <v>0</v>
      </c>
      <c r="M815" s="646">
        <f>M816+M817</f>
        <v>0</v>
      </c>
      <c r="N815" s="646">
        <f>N816+N817</f>
        <v>0</v>
      </c>
      <c r="O815" s="646">
        <f>IF(L815&gt;0,N815*100/L815,0)</f>
        <v>0</v>
      </c>
      <c r="P815" s="646">
        <f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37" t="s">
        <v>38</v>
      </c>
      <c r="E818" s="650"/>
      <c r="F818" s="650"/>
      <c r="G818" s="651"/>
      <c r="H818" s="365"/>
      <c r="I818" s="165"/>
      <c r="J818" s="165"/>
      <c r="K818" s="166"/>
      <c r="L818" s="166"/>
      <c r="M818" s="166"/>
      <c r="N818" s="166"/>
      <c r="O818" s="166"/>
      <c r="P818" s="166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323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36" t="s">
        <v>340</v>
      </c>
      <c r="B820" s="834"/>
      <c r="C820" s="834"/>
      <c r="D820" s="835"/>
      <c r="E820" s="834"/>
      <c r="F820" s="834"/>
      <c r="G820" s="833"/>
      <c r="H820" s="832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1"/>
      <c r="J820" s="831"/>
      <c r="K820" s="830"/>
      <c r="L820" s="830"/>
      <c r="M820" s="830"/>
      <c r="N820" s="830"/>
      <c r="O820" s="830"/>
      <c r="P820" s="83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325</v>
      </c>
      <c r="C821" s="762"/>
      <c r="D821" s="574"/>
      <c r="E821" s="762"/>
      <c r="F821" s="762"/>
      <c r="G821" s="188"/>
      <c r="H821" s="622" t="s">
        <v>12</v>
      </c>
      <c r="I821" s="269">
        <f ca="1">IFERROR(__xludf.DUMMYFUNCTION("IMPORTRANGE(""https://docs.google.com/spreadsheets/d/19vJNZY_5yjcGF2XGBMNZRCAIB0Kwfpjp8YEOfu-bneM/edit?usp=sharing"",""งานกองทุน!D80"")"),473241.86)</f>
        <v>473241.86</v>
      </c>
      <c r="J821" s="269">
        <f ca="1">IFERROR(__xludf.DUMMYFUNCTION("IMPORTRANGE(""https://docs.google.com/spreadsheets/d/19vJNZY_5yjcGF2XGBMNZRCAIB0Kwfpjp8YEOfu-bneM/edit?usp=sharing"",""งานกองทุน!F80"")"),831793.8)</f>
        <v>831793.8</v>
      </c>
      <c r="K821" s="497">
        <f t="shared" ref="K821:K828" ca="1" si="113">IF(I821&gt;0,J821*100/I821,0)</f>
        <v>175.76505172217858</v>
      </c>
      <c r="L821" s="497"/>
      <c r="M821" s="497"/>
      <c r="N821" s="497"/>
      <c r="O821" s="497"/>
      <c r="P821" s="497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8"/>
      <c r="H822" s="622" t="s">
        <v>35</v>
      </c>
      <c r="I822" s="269">
        <f ca="1">IFERROR(__xludf.DUMMYFUNCTION("IMPORTRANGE(""https://docs.google.com/spreadsheets/d/19vJNZY_5yjcGF2XGBMNZRCAIB0Kwfpjp8YEOfu-bneM/edit?usp=sharing"",""งานกองทุน!C80"")"),31)</f>
        <v>31</v>
      </c>
      <c r="J822" s="269">
        <f ca="1">IFERROR(__xludf.DUMMYFUNCTION("IMPORTRANGE(""https://docs.google.com/spreadsheets/d/19vJNZY_5yjcGF2XGBMNZRCAIB0Kwfpjp8YEOfu-bneM/edit?usp=sharing"",""งานกองทุน!E80"")"),42)</f>
        <v>42</v>
      </c>
      <c r="K822" s="497">
        <f t="shared" ca="1" si="113"/>
        <v>135.48387096774192</v>
      </c>
      <c r="L822" s="497"/>
      <c r="M822" s="497"/>
      <c r="N822" s="497"/>
      <c r="O822" s="497"/>
      <c r="P822" s="497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326</v>
      </c>
      <c r="C823" s="762"/>
      <c r="D823" s="574"/>
      <c r="E823" s="762"/>
      <c r="F823" s="762"/>
      <c r="G823" s="188"/>
      <c r="H823" s="622" t="s">
        <v>12</v>
      </c>
      <c r="I823" s="269">
        <f ca="1">IFERROR(__xludf.DUMMYFUNCTION("IMPORTRANGE(""https://docs.google.com/spreadsheets/d/19vJNZY_5yjcGF2XGBMNZRCAIB0Kwfpjp8YEOfu-bneM/edit?usp=sharing"",""งานกองทุน!I80"")"),1882523.56)</f>
        <v>1882523.56</v>
      </c>
      <c r="J823" s="269">
        <f ca="1">IFERROR(__xludf.DUMMYFUNCTION("IMPORTRANGE(""https://docs.google.com/spreadsheets/d/19vJNZY_5yjcGF2XGBMNZRCAIB0Kwfpjp8YEOfu-bneM/edit?usp=sharing"",""งานกองทุน!K80"")"),173892.01)</f>
        <v>173892.01</v>
      </c>
      <c r="K823" s="497">
        <f t="shared" ca="1" si="113"/>
        <v>9.2371757620924537</v>
      </c>
      <c r="L823" s="497"/>
      <c r="M823" s="497"/>
      <c r="N823" s="497"/>
      <c r="O823" s="497"/>
      <c r="P823" s="497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8"/>
      <c r="H824" s="622" t="s">
        <v>35</v>
      </c>
      <c r="I824" s="269">
        <f ca="1">IFERROR(__xludf.DUMMYFUNCTION("IMPORTRANGE(""https://docs.google.com/spreadsheets/d/19vJNZY_5yjcGF2XGBMNZRCAIB0Kwfpjp8YEOfu-bneM/edit?usp=sharing"",""งานกองทุน!H80"")"),131)</f>
        <v>131</v>
      </c>
      <c r="J824" s="269">
        <f ca="1">IFERROR(__xludf.DUMMYFUNCTION("IMPORTRANGE(""https://docs.google.com/spreadsheets/d/19vJNZY_5yjcGF2XGBMNZRCAIB0Kwfpjp8YEOfu-bneM/edit?usp=sharing"",""งานกองทุน!J80"")"),110)</f>
        <v>110</v>
      </c>
      <c r="K824" s="497">
        <f t="shared" ca="1" si="113"/>
        <v>83.969465648854964</v>
      </c>
      <c r="L824" s="497"/>
      <c r="M824" s="497"/>
      <c r="N824" s="497"/>
      <c r="O824" s="497"/>
      <c r="P824" s="497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327</v>
      </c>
      <c r="C825" s="762"/>
      <c r="D825" s="574"/>
      <c r="E825" s="762"/>
      <c r="F825" s="762"/>
      <c r="G825" s="188"/>
      <c r="H825" s="622" t="s">
        <v>12</v>
      </c>
      <c r="I825" s="269">
        <f ca="1">IFERROR(__xludf.DUMMYFUNCTION("IMPORTRANGE(""https://docs.google.com/spreadsheets/d/19vJNZY_5yjcGF2XGBMNZRCAIB0Kwfpjp8YEOfu-bneM/edit?usp=sharing"",""งานกองทุน!N80"")"),26632.55)</f>
        <v>26632.55</v>
      </c>
      <c r="J825" s="269">
        <f ca="1">IFERROR(__xludf.DUMMYFUNCTION("IMPORTRANGE(""https://docs.google.com/spreadsheets/d/19vJNZY_5yjcGF2XGBMNZRCAIB0Kwfpjp8YEOfu-bneM/edit?usp=sharing"",""งานกองทุน!P80"")"),21539.61)</f>
        <v>21539.61</v>
      </c>
      <c r="K825" s="497">
        <f t="shared" ca="1" si="113"/>
        <v>80.877009524059844</v>
      </c>
      <c r="L825" s="497"/>
      <c r="M825" s="497"/>
      <c r="N825" s="497"/>
      <c r="O825" s="497"/>
      <c r="P825" s="497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8"/>
      <c r="H826" s="622" t="s">
        <v>35</v>
      </c>
      <c r="I826" s="269">
        <f ca="1">IFERROR(__xludf.DUMMYFUNCTION("IMPORTRANGE(""https://docs.google.com/spreadsheets/d/19vJNZY_5yjcGF2XGBMNZRCAIB0Kwfpjp8YEOfu-bneM/edit?usp=sharing"",""งานกองทุน!M80"")"),83)</f>
        <v>83</v>
      </c>
      <c r="J826" s="269">
        <f ca="1">IFERROR(__xludf.DUMMYFUNCTION("IMPORTRANGE(""https://docs.google.com/spreadsheets/d/19vJNZY_5yjcGF2XGBMNZRCAIB0Kwfpjp8YEOfu-bneM/edit?usp=sharing"",""งานกองทุน!O80"")"),58)</f>
        <v>58</v>
      </c>
      <c r="K826" s="497">
        <f t="shared" ca="1" si="113"/>
        <v>69.879518072289159</v>
      </c>
      <c r="L826" s="497"/>
      <c r="M826" s="497"/>
      <c r="N826" s="497"/>
      <c r="O826" s="497"/>
      <c r="P826" s="497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328</v>
      </c>
      <c r="C827" s="762"/>
      <c r="D827" s="574"/>
      <c r="E827" s="762"/>
      <c r="F827" s="762"/>
      <c r="G827" s="188"/>
      <c r="H827" s="622" t="s">
        <v>12</v>
      </c>
      <c r="I827" s="269">
        <f ca="1">IFERROR(__xludf.DUMMYFUNCTION("IMPORTRANGE(""https://docs.google.com/spreadsheets/d/19vJNZY_5yjcGF2XGBMNZRCAIB0Kwfpjp8YEOfu-bneM/edit?usp=sharing"",""งานกองทุน!S80"")"),300000)</f>
        <v>300000</v>
      </c>
      <c r="J827" s="269">
        <f ca="1">IFERROR(__xludf.DUMMYFUNCTION("IMPORTRANGE(""https://docs.google.com/spreadsheets/d/19vJNZY_5yjcGF2XGBMNZRCAIB0Kwfpjp8YEOfu-bneM/edit?usp=sharing"",""งานกองทุน!U80"")"),400000)</f>
        <v>400000</v>
      </c>
      <c r="K827" s="497">
        <f t="shared" ca="1" si="113"/>
        <v>133.33333333333334</v>
      </c>
      <c r="L827" s="497"/>
      <c r="M827" s="497"/>
      <c r="N827" s="497"/>
      <c r="O827" s="497"/>
      <c r="P827" s="497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827"/>
      <c r="B828" s="748"/>
      <c r="C828" s="748"/>
      <c r="D828" s="747"/>
      <c r="E828" s="748"/>
      <c r="F828" s="748"/>
      <c r="G828" s="828"/>
      <c r="H828" s="829" t="s">
        <v>35</v>
      </c>
      <c r="I828" s="505">
        <f ca="1">IFERROR(__xludf.DUMMYFUNCTION("IMPORTRANGE(""https://docs.google.com/spreadsheets/d/19vJNZY_5yjcGF2XGBMNZRCAIB0Kwfpjp8YEOfu-bneM/edit?usp=sharing"",""งานกองทุน!R80"")"),7)</f>
        <v>7</v>
      </c>
      <c r="J828" s="505">
        <f ca="1">IFERROR(__xludf.DUMMYFUNCTION("IMPORTRANGE(""https://docs.google.com/spreadsheets/d/19vJNZY_5yjcGF2XGBMNZRCAIB0Kwfpjp8YEOfu-bneM/edit?usp=sharing"",""งานกองทุน!T80"")"),8)</f>
        <v>8</v>
      </c>
      <c r="K828" s="506">
        <f t="shared" ca="1" si="113"/>
        <v>114.28571428571429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 gridLines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04227-8298-468C-8FA1-8CCEE7448167}">
  <sheetPr>
    <outlinePr summaryBelow="0" summaryRight="0"/>
    <pageSetUpPr fitToPage="1"/>
  </sheetPr>
  <dimension ref="A1:Z828"/>
  <sheetViews>
    <sheetView view="pageBreakPreview" zoomScale="50" zoomScaleNormal="10" zoomScaleSheetLayoutView="50" workbookViewId="0">
      <pane ySplit="6" topLeftCell="A7" activePane="bottomLeft" state="frozen"/>
      <selection activeCell="X18" sqref="X18:X21"/>
      <selection pane="bottomLeft" activeCell="X18" sqref="X18:X2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20.140625" bestFit="1" customWidth="1"/>
    <col min="16" max="16" width="22" bestFit="1" customWidth="1"/>
  </cols>
  <sheetData>
    <row r="1" spans="1:26" ht="18">
      <c r="A1" s="913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343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354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4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7759793</v>
      </c>
      <c r="M8" s="21">
        <f ca="1">M9+M10</f>
        <v>6641484.0800000001</v>
      </c>
      <c r="N8" s="21">
        <f ca="1">N9+N10</f>
        <v>6641484.0099999998</v>
      </c>
      <c r="O8" s="21">
        <f t="shared" ref="O8:O16" ca="1" si="0">IF(L8&gt;0,N8*100/L8,0)</f>
        <v>85.588417242573357</v>
      </c>
      <c r="P8" s="21">
        <f t="shared" ref="P8:P16" ca="1" si="1">IF(M8&gt;0,N8*100/M8,0)</f>
        <v>99.999998946018707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7759793</v>
      </c>
      <c r="M10" s="29">
        <f t="shared" ca="1" si="2"/>
        <v>6641484.0800000001</v>
      </c>
      <c r="N10" s="29">
        <f t="shared" ca="1" si="2"/>
        <v>6641484.0099999998</v>
      </c>
      <c r="O10" s="29">
        <f t="shared" ca="1" si="0"/>
        <v>85.588417242573357</v>
      </c>
      <c r="P10" s="29">
        <f t="shared" ca="1" si="1"/>
        <v>99.999998946018707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22" t="s">
        <v>12</v>
      </c>
      <c r="I11" s="269"/>
      <c r="J11" s="269"/>
      <c r="K11" s="497"/>
      <c r="L11" s="497">
        <f ca="1">L12+L13</f>
        <v>3013793</v>
      </c>
      <c r="M11" s="497">
        <f ca="1">M12+M13</f>
        <v>3223934.08</v>
      </c>
      <c r="N11" s="497">
        <f ca="1">N12+N13</f>
        <v>3223934.01</v>
      </c>
      <c r="O11" s="497">
        <f t="shared" ca="1" si="0"/>
        <v>106.97264244757353</v>
      </c>
      <c r="P11" s="497">
        <f t="shared" ca="1" si="1"/>
        <v>99.999997828739723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6"/>
      <c r="J12" s="616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6"/>
      <c r="J13" s="616"/>
      <c r="K13" s="92"/>
      <c r="L13" s="92">
        <f t="shared" ca="1" si="3"/>
        <v>3013793</v>
      </c>
      <c r="M13" s="92">
        <f t="shared" ca="1" si="3"/>
        <v>3223934.08</v>
      </c>
      <c r="N13" s="92">
        <f t="shared" ca="1" si="3"/>
        <v>3223934.01</v>
      </c>
      <c r="O13" s="92">
        <f t="shared" ca="1" si="0"/>
        <v>106.97264244757353</v>
      </c>
      <c r="P13" s="92">
        <f t="shared" ca="1" si="1"/>
        <v>99.999997828739723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22" t="s">
        <v>12</v>
      </c>
      <c r="I14" s="269"/>
      <c r="J14" s="269"/>
      <c r="K14" s="497"/>
      <c r="L14" s="497">
        <f ca="1">L15+L16</f>
        <v>4746000</v>
      </c>
      <c r="M14" s="497">
        <f ca="1">M15+M16</f>
        <v>3417550</v>
      </c>
      <c r="N14" s="497">
        <f ca="1">N15+N16</f>
        <v>3417550</v>
      </c>
      <c r="O14" s="497">
        <f t="shared" ca="1" si="0"/>
        <v>72.009060261272651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6"/>
      <c r="J15" s="616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4746000</v>
      </c>
      <c r="M16" s="51">
        <f t="shared" ca="1" si="4"/>
        <v>3417550</v>
      </c>
      <c r="N16" s="51">
        <f t="shared" ca="1" si="4"/>
        <v>3417550</v>
      </c>
      <c r="O16" s="51">
        <f t="shared" ca="1" si="0"/>
        <v>72.009060261272651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7037367</v>
      </c>
      <c r="M18" s="21">
        <f ca="1">M19+M20</f>
        <v>5885072.7599999998</v>
      </c>
      <c r="N18" s="21">
        <f ca="1">N19+N20</f>
        <v>5885072.6899999995</v>
      </c>
      <c r="O18" s="21">
        <f t="shared" ref="O18:O26" ca="1" si="5">IF(L18&gt;0,N18*100/L18,0)</f>
        <v>83.626059149679136</v>
      </c>
      <c r="P18" s="21">
        <f t="shared" ref="P18:P26" ca="1" si="6">IF(M18&gt;0,N18*100/M18,0)</f>
        <v>99.999998810549968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7037367</v>
      </c>
      <c r="M20" s="29">
        <f t="shared" ca="1" si="7"/>
        <v>5885072.7599999998</v>
      </c>
      <c r="N20" s="29">
        <f t="shared" ca="1" si="7"/>
        <v>5885072.6899999995</v>
      </c>
      <c r="O20" s="29">
        <f t="shared" ca="1" si="5"/>
        <v>83.626059149679136</v>
      </c>
      <c r="P20" s="29">
        <f t="shared" ca="1" si="6"/>
        <v>99.999998810549968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22" t="s">
        <v>12</v>
      </c>
      <c r="I21" s="269"/>
      <c r="J21" s="269"/>
      <c r="K21" s="497"/>
      <c r="L21" s="497">
        <f ca="1">L22+L23</f>
        <v>2291367</v>
      </c>
      <c r="M21" s="497">
        <f ca="1">M22+M23</f>
        <v>2467522.7599999998</v>
      </c>
      <c r="N21" s="497">
        <f ca="1">N22+N23</f>
        <v>2467522.69</v>
      </c>
      <c r="O21" s="497">
        <f t="shared" ca="1" si="5"/>
        <v>107.68779903001135</v>
      </c>
      <c r="P21" s="497">
        <f t="shared" ca="1" si="6"/>
        <v>99.999997163146745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6"/>
      <c r="J22" s="616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6"/>
      <c r="J23" s="616"/>
      <c r="K23" s="92"/>
      <c r="L23" s="92">
        <f t="shared" ca="1" si="8"/>
        <v>2291367</v>
      </c>
      <c r="M23" s="92">
        <f t="shared" ca="1" si="8"/>
        <v>2467522.7599999998</v>
      </c>
      <c r="N23" s="92">
        <f t="shared" ca="1" si="8"/>
        <v>2467522.69</v>
      </c>
      <c r="O23" s="92">
        <f t="shared" ca="1" si="5"/>
        <v>107.68779903001135</v>
      </c>
      <c r="P23" s="92">
        <f t="shared" ca="1" si="6"/>
        <v>99.999997163146745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22" t="s">
        <v>12</v>
      </c>
      <c r="I24" s="269"/>
      <c r="J24" s="269"/>
      <c r="K24" s="497"/>
      <c r="L24" s="497">
        <f ca="1">L25+L26</f>
        <v>4746000</v>
      </c>
      <c r="M24" s="497">
        <f ca="1">M25+M26</f>
        <v>3417550</v>
      </c>
      <c r="N24" s="497">
        <f ca="1">N25+N26</f>
        <v>3417550</v>
      </c>
      <c r="O24" s="497">
        <f t="shared" ca="1" si="5"/>
        <v>72.009060261272651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6"/>
      <c r="J25" s="616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4746000</v>
      </c>
      <c r="M26" s="51">
        <f t="shared" ca="1" si="9"/>
        <v>3417550</v>
      </c>
      <c r="N26" s="51">
        <f t="shared" ca="1" si="9"/>
        <v>3417550</v>
      </c>
      <c r="O26" s="51">
        <f t="shared" ca="1" si="5"/>
        <v>72.009060261272651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722426</v>
      </c>
      <c r="M28" s="21">
        <f ca="1">M29+M30</f>
        <v>756411.32000000007</v>
      </c>
      <c r="N28" s="21">
        <f>N29+N30</f>
        <v>756411.32000000007</v>
      </c>
      <c r="O28" s="21">
        <f t="shared" ref="O28:O37" ca="1" si="10">IF(L28&gt;0,N28*100/L28,0)</f>
        <v>104.70433234684245</v>
      </c>
      <c r="P28" s="21">
        <f t="shared" ref="P28:P37" ca="1" si="11">IF(M28&gt;0,N28*100/M28,0)</f>
        <v>99.999999999999986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722426</v>
      </c>
      <c r="M30" s="29">
        <f t="shared" ca="1" si="12"/>
        <v>756411.32000000007</v>
      </c>
      <c r="N30" s="29">
        <f t="shared" si="12"/>
        <v>756411.32000000007</v>
      </c>
      <c r="O30" s="29">
        <f t="shared" ca="1" si="10"/>
        <v>104.70433234684245</v>
      </c>
      <c r="P30" s="29">
        <f t="shared" ca="1" si="11"/>
        <v>99.999999999999986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22" t="s">
        <v>12</v>
      </c>
      <c r="I31" s="269"/>
      <c r="J31" s="269"/>
      <c r="K31" s="497"/>
      <c r="L31" s="497">
        <f ca="1">L32+L33</f>
        <v>722426</v>
      </c>
      <c r="M31" s="497">
        <f ca="1">M32+M33</f>
        <v>756411.32000000007</v>
      </c>
      <c r="N31" s="497">
        <f>N32+N33</f>
        <v>756411.32000000007</v>
      </c>
      <c r="O31" s="497">
        <f t="shared" ca="1" si="10"/>
        <v>104.70433234684245</v>
      </c>
      <c r="P31" s="497">
        <f t="shared" ca="1" si="11"/>
        <v>99.999999999999986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6"/>
      <c r="J32" s="616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6"/>
      <c r="J33" s="616"/>
      <c r="K33" s="92"/>
      <c r="L33" s="92">
        <f t="shared" ca="1" si="13"/>
        <v>722426</v>
      </c>
      <c r="M33" s="92">
        <f t="shared" ca="1" si="13"/>
        <v>756411.32000000007</v>
      </c>
      <c r="N33" s="92">
        <f t="shared" si="13"/>
        <v>756411.32000000007</v>
      </c>
      <c r="O33" s="92">
        <f t="shared" ca="1" si="10"/>
        <v>104.70433234684245</v>
      </c>
      <c r="P33" s="92">
        <f t="shared" ca="1" si="11"/>
        <v>99.999999999999986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22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6"/>
      <c r="J35" s="616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868" t="s">
        <v>24</v>
      </c>
      <c r="B37" s="867"/>
      <c r="C37" s="867"/>
      <c r="D37" s="867"/>
      <c r="E37" s="867"/>
      <c r="F37" s="867"/>
      <c r="G37" s="866"/>
      <c r="H37" s="865"/>
      <c r="I37" s="864"/>
      <c r="J37" s="864"/>
      <c r="K37" s="863"/>
      <c r="L37" s="862">
        <f ca="1">L41+L53+L66+L88+L119+L132+L149+L165+L181+L261+L277+L298+L315+L328+L345+L389+L402</f>
        <v>7037367</v>
      </c>
      <c r="M37" s="862">
        <f ca="1">M41+M53+M66+M88+M119+M132+M149+M165+M181+M261+M277+M298+M315+M328+M345+M389+M402</f>
        <v>5885072.7599999998</v>
      </c>
      <c r="N37" s="862">
        <f ca="1">N41+N53+N66+N88+N119+N132+N149+N165+N181+N261+N277+N298+N315+N328+N345+N389+N402</f>
        <v>5885072.6899999995</v>
      </c>
      <c r="O37" s="862">
        <f t="shared" ca="1" si="10"/>
        <v>83.626059149679136</v>
      </c>
      <c r="P37" s="862">
        <f t="shared" ca="1" si="11"/>
        <v>99.999998810549968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9" t="s">
        <v>27</v>
      </c>
      <c r="C40" s="888"/>
      <c r="D40" s="888"/>
      <c r="E40" s="888"/>
      <c r="F40" s="888"/>
      <c r="G40" s="894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1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193842</v>
      </c>
      <c r="M41" s="84">
        <f ca="1">M42+M43</f>
        <v>253194.5</v>
      </c>
      <c r="N41" s="84">
        <f ca="1">N42+N43</f>
        <v>253194.5</v>
      </c>
      <c r="O41" s="84">
        <f t="shared" ref="O41:O49" ca="1" si="15">IF(L41&gt;0,N41*100/L41,0)</f>
        <v>130.61900929623096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193842</v>
      </c>
      <c r="M43" s="91">
        <f t="shared" ca="1" si="17"/>
        <v>253194.5</v>
      </c>
      <c r="N43" s="91">
        <f t="shared" ca="1" si="17"/>
        <v>253194.5</v>
      </c>
      <c r="O43" s="91">
        <f t="shared" ca="1" si="15"/>
        <v>130.61900929623096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22" t="s">
        <v>12</v>
      </c>
      <c r="I44" s="269"/>
      <c r="J44" s="269"/>
      <c r="K44" s="497"/>
      <c r="L44" s="497">
        <f ca="1">L45+L46</f>
        <v>193842</v>
      </c>
      <c r="M44" s="497">
        <f ca="1">M45+M46</f>
        <v>253194.5</v>
      </c>
      <c r="N44" s="497">
        <f ca="1">N45+N46</f>
        <v>253194.5</v>
      </c>
      <c r="O44" s="497">
        <f t="shared" ca="1" si="15"/>
        <v>130.61900929623096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6"/>
      <c r="J45" s="616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6"/>
      <c r="J46" s="616"/>
      <c r="K46" s="92"/>
      <c r="L46" s="92">
        <f ca="1">IFERROR(__xludf.DUMMYFUNCTION("IMPORTRANGE(""https://docs.google.com/spreadsheets/d/1MeEWN-I1oV_STSDYn1IFDPWt_1FKiwhDph83XaGc0o0/edit?usp=sharing"",""งบพรบ!M81"")"),193842)</f>
        <v>193842</v>
      </c>
      <c r="M46" s="92">
        <f ca="1">IFERROR(__xludf.DUMMYFUNCTION("IMPORTRANGE(""https://docs.google.com/spreadsheets/d/1MeEWN-I1oV_STSDYn1IFDPWt_1FKiwhDph83XaGc0o0/edit?usp=sharing"",""งบพรบ!R81"")"),253194.5)</f>
        <v>253194.5</v>
      </c>
      <c r="N46" s="92">
        <f ca="1">IFERROR(__xludf.DUMMYFUNCTION("IMPORTRANGE(""https://docs.google.com/spreadsheets/d/1MeEWN-I1oV_STSDYn1IFDPWt_1FKiwhDph83XaGc0o0/edit?usp=sharing"",""งบพรบ!T81"")"),253194.5)</f>
        <v>253194.5</v>
      </c>
      <c r="O46" s="92">
        <f t="shared" ca="1" si="15"/>
        <v>130.61900929623096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22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6"/>
      <c r="J48" s="616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IFERROR(__xludf.DUMMYFUNCTION("IMPORTRANGE(""https://docs.google.com/spreadsheets/d/1MeEWN-I1oV_STSDYn1IFDPWt_1FKiwhDph83XaGc0o0/edit?usp=sharing"",""งบพรบ!P81"")"),0)</f>
        <v>0</v>
      </c>
      <c r="M49" s="51">
        <f ca="1">IFERROR(__xludf.DUMMYFUNCTION("IMPORTRANGE(""https://docs.google.com/spreadsheets/d/1MeEWN-I1oV_STSDYn1IFDPWt_1FKiwhDph83XaGc0o0/edit?usp=sharing"",""งบพรบ!S81"")"),0)</f>
        <v>0</v>
      </c>
      <c r="N49" s="51">
        <f ca="1">IFERROR(__xludf.DUMMYFUNCTION("IMPORTRANGE(""https://docs.google.com/spreadsheets/d/1MeEWN-I1oV_STSDYn1IFDPWt_1FKiwhDph83XaGc0o0/edit?usp=sharing"",""งบพรบ!U81"")"),0)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3" t="s">
        <v>29</v>
      </c>
      <c r="C51" s="888"/>
      <c r="D51" s="888"/>
      <c r="E51" s="888"/>
      <c r="F51" s="888"/>
      <c r="G51" s="894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5589500</v>
      </c>
      <c r="M53" s="115">
        <f ca="1">M54+M55</f>
        <v>4262223.26</v>
      </c>
      <c r="N53" s="115">
        <f ca="1">N54+N55</f>
        <v>4262223.21</v>
      </c>
      <c r="O53" s="115">
        <f t="shared" ref="O53:O61" ca="1" si="18">IF(L53&gt;0,N53*100/L53,0)</f>
        <v>76.25410519724484</v>
      </c>
      <c r="P53" s="115">
        <f t="shared" ref="P53:P61" ca="1" si="19">IF(M53&gt;0,N53*100/M53,0)</f>
        <v>99.999998826903308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5589500</v>
      </c>
      <c r="M55" s="122">
        <f t="shared" ca="1" si="20"/>
        <v>4262223.26</v>
      </c>
      <c r="N55" s="122">
        <f t="shared" ca="1" si="20"/>
        <v>4262223.21</v>
      </c>
      <c r="O55" s="122">
        <f t="shared" ca="1" si="18"/>
        <v>76.25410519724484</v>
      </c>
      <c r="P55" s="122">
        <f t="shared" ca="1" si="19"/>
        <v>99.999998826903308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22" t="s">
        <v>12</v>
      </c>
      <c r="I56" s="269"/>
      <c r="J56" s="269"/>
      <c r="K56" s="497"/>
      <c r="L56" s="497">
        <f ca="1">L57+L58</f>
        <v>919500</v>
      </c>
      <c r="M56" s="497">
        <f ca="1">M57+M58</f>
        <v>920473.26</v>
      </c>
      <c r="N56" s="497">
        <f ca="1">N57+N58</f>
        <v>920473.21</v>
      </c>
      <c r="O56" s="497">
        <f t="shared" ca="1" si="18"/>
        <v>100.10584121805329</v>
      </c>
      <c r="P56" s="497">
        <f t="shared" ca="1" si="19"/>
        <v>99.999994568011672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6"/>
      <c r="J57" s="616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6"/>
      <c r="J58" s="616"/>
      <c r="K58" s="92"/>
      <c r="L58" s="92">
        <f ca="1">IFERROR(__xludf.DUMMYFUNCTION("IMPORTRANGE(""https://docs.google.com/spreadsheets/d/1MeEWN-I1oV_STSDYn1IFDPWt_1FKiwhDph83XaGc0o0/edit?usp=sharing"",""งบพรบ!W81"")"),919500)</f>
        <v>919500</v>
      </c>
      <c r="M58" s="92">
        <f ca="1">IFERROR(__xludf.DUMMYFUNCTION("IMPORTRANGE(""https://docs.google.com/spreadsheets/d/1MeEWN-I1oV_STSDYn1IFDPWt_1FKiwhDph83XaGc0o0/edit?usp=sharing"",""งบพรบ!AB81"")"),920473.26)</f>
        <v>920473.26</v>
      </c>
      <c r="N58" s="92">
        <f ca="1">IFERROR(__xludf.DUMMYFUNCTION("IMPORTRANGE(""https://docs.google.com/spreadsheets/d/1MeEWN-I1oV_STSDYn1IFDPWt_1FKiwhDph83XaGc0o0/edit?usp=sharing"",""งบพรบ!AD81"")"),920473.21)</f>
        <v>920473.21</v>
      </c>
      <c r="O58" s="92">
        <f t="shared" ca="1" si="18"/>
        <v>100.10584121805329</v>
      </c>
      <c r="P58" s="92">
        <f t="shared" ca="1" si="19"/>
        <v>99.999994568011672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22" t="s">
        <v>12</v>
      </c>
      <c r="I59" s="269"/>
      <c r="J59" s="269"/>
      <c r="K59" s="497"/>
      <c r="L59" s="497">
        <f ca="1">L60+L61</f>
        <v>4670000</v>
      </c>
      <c r="M59" s="497">
        <f ca="1">M60+M61</f>
        <v>3341750</v>
      </c>
      <c r="N59" s="497">
        <f ca="1">N60+N61</f>
        <v>3341750</v>
      </c>
      <c r="O59" s="497">
        <f t="shared" ca="1" si="18"/>
        <v>71.557815845824408</v>
      </c>
      <c r="P59" s="497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6"/>
      <c r="J60" s="616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IFERROR(__xludf.DUMMYFUNCTION("IMPORTRANGE(""https://docs.google.com/spreadsheets/d/1MeEWN-I1oV_STSDYn1IFDPWt_1FKiwhDph83XaGc0o0/edit?usp=sharing"",""งบพรบ!Z81"")"),4670000)</f>
        <v>4670000</v>
      </c>
      <c r="M61" s="51">
        <f ca="1">IFERROR(__xludf.DUMMYFUNCTION("IMPORTRANGE(""https://docs.google.com/spreadsheets/d/1MeEWN-I1oV_STSDYn1IFDPWt_1FKiwhDph83XaGc0o0/edit?usp=sharing"",""งบพรบ!AC81"")"),3341750)</f>
        <v>3341750</v>
      </c>
      <c r="N61" s="51">
        <f ca="1">IFERROR(__xludf.DUMMYFUNCTION("IMPORTRANGE(""https://docs.google.com/spreadsheets/d/1MeEWN-I1oV_STSDYn1IFDPWt_1FKiwhDph83XaGc0o0/edit?usp=sharing"",""งบพรบ!AE81"")"),3341750)</f>
        <v>3341750</v>
      </c>
      <c r="O61" s="51">
        <f t="shared" ca="1" si="18"/>
        <v>71.557815845824408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46" t="s">
        <v>17</v>
      </c>
      <c r="E66" s="147"/>
      <c r="F66" s="147"/>
      <c r="G66" s="150"/>
      <c r="H66" s="151" t="s">
        <v>12</v>
      </c>
      <c r="I66" s="420"/>
      <c r="J66" s="420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6"/>
      <c r="J67" s="616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6"/>
      <c r="J68" s="616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IFERROR(__xludf.DUMMYFUNCTION("IMPORTRANGE(""https://docs.google.com/spreadsheets/d/1MeEWN-I1oV_STSDYn1IFDPWt_1FKiwhDph83XaGc0o0/edit?usp=sharing"",""งบพรบ!AG81"")"),0)</f>
        <v>0</v>
      </c>
      <c r="M71" s="92">
        <f ca="1">IFERROR(__xludf.DUMMYFUNCTION("IMPORTRANGE(""https://docs.google.com/spreadsheets/d/1MeEWN-I1oV_STSDYn1IFDPWt_1FKiwhDph83XaGc0o0/edit?usp=sharing"",""งบพรบ!AL81"")"),0)</f>
        <v>0</v>
      </c>
      <c r="N71" s="92">
        <f ca="1">IFERROR(__xludf.DUMMYFUNCTION("IMPORTRANGE(""https://docs.google.com/spreadsheets/d/1MeEWN-I1oV_STSDYn1IFDPWt_1FKiwhDph83XaGc0o0/edit?usp=sharing"",""งบพรบ!AN81"")"),0)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IFERROR(__xludf.DUMMYFUNCTION("IMPORTRANGE(""https://docs.google.com/spreadsheets/d/1MeEWN-I1oV_STSDYn1IFDPWt_1FKiwhDph83XaGc0o0/edit?usp=sharing"",""งบพรบ!AJ81"")"),0)</f>
        <v>0</v>
      </c>
      <c r="M74" s="92">
        <f ca="1">IFERROR(__xludf.DUMMYFUNCTION("IMPORTRANGE(""https://docs.google.com/spreadsheets/d/1MeEWN-I1oV_STSDYn1IFDPWt_1FKiwhDph83XaGc0o0/edit?usp=sharing"",""งบพรบ!AM81"")"),0)</f>
        <v>0</v>
      </c>
      <c r="N74" s="92">
        <f ca="1">IFERROR(__xludf.DUMMYFUNCTION("IMPORTRANGE(""https://docs.google.com/spreadsheets/d/1MeEWN-I1oV_STSDYn1IFDPWt_1FKiwhDph83XaGc0o0/edit?usp=sharing"",""งบพรบ!AO81"")"),0)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47" t="s">
        <v>38</v>
      </c>
      <c r="E75" s="172"/>
      <c r="F75" s="172"/>
      <c r="G75" s="173"/>
      <c r="H75" s="761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7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7" t="s">
        <v>40</v>
      </c>
      <c r="F78" s="447"/>
      <c r="G78" s="178"/>
      <c r="H78" s="763" t="s">
        <v>34</v>
      </c>
      <c r="I78" s="183">
        <f ca="1">IFERROR(__xludf.DUMMYFUNCTION("IMPORTRANGE(""https://docs.google.com/spreadsheets/d/1QqKyyYR6Q21VydFLVH3TRQUabQu_ym0Zz7PgGX0-kHA/edit?usp=sharing"",""แผน!H81"")"),0)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63" t="s">
        <v>35</v>
      </c>
      <c r="I79" s="183">
        <f ca="1">IFERROR(__xludf.DUMMYFUNCTION("IMPORTRANGE(""https://docs.google.com/spreadsheets/d/1QqKyyYR6Q21VydFLVH3TRQUabQu_ym0Zz7PgGX0-kHA/edit?usp=sharing"",""แผน!I81"")"),0)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7" t="s">
        <v>41</v>
      </c>
      <c r="F80" s="447"/>
      <c r="G80" s="178"/>
      <c r="H80" s="763" t="s">
        <v>34</v>
      </c>
      <c r="I80" s="183">
        <f ca="1">IFERROR(__xludf.DUMMYFUNCTION("IMPORTRANGE(""https://docs.google.com/spreadsheets/d/1QqKyyYR6Q21VydFLVH3TRQUabQu_ym0Zz7PgGX0-kHA/edit?usp=sharing"",""แผน!F81"")"),0)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63" t="s">
        <v>35</v>
      </c>
      <c r="I81" s="183">
        <f ca="1">IFERROR(__xludf.DUMMYFUNCTION("IMPORTRANGE(""https://docs.google.com/spreadsheets/d/1QqKyyYR6Q21VydFLVH3TRQUabQu_ym0Zz7PgGX0-kHA/edit?usp=sharing"",""แผน!G81"")"),0)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7" t="s">
        <v>42</v>
      </c>
      <c r="F82" s="447"/>
      <c r="G82" s="178"/>
      <c r="H82" s="763" t="s">
        <v>34</v>
      </c>
      <c r="I82" s="183">
        <f ca="1">IFERROR(__xludf.DUMMYFUNCTION("IMPORTRANGE(""https://docs.google.com/spreadsheets/d/1QqKyyYR6Q21VydFLVH3TRQUabQu_ym0Zz7PgGX0-kHA/edit?usp=sharing"",""แผน!D81"")"),0)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63" t="s">
        <v>35</v>
      </c>
      <c r="I83" s="183">
        <f ca="1">IFERROR(__xludf.DUMMYFUNCTION("IMPORTRANGE(""https://docs.google.com/spreadsheets/d/1QqKyyYR6Q21VydFLVH3TRQUabQu_ym0Zz7PgGX0-kHA/edit?usp=sharing"",""แผน!E81"")"),0)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7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IFERROR(__xludf.DUMMYFUNCTION("IMPORTRANGE(""https://docs.google.com/spreadsheets/d/1QqKyyYR6Q21VydFLVH3TRQUabQu_ym0Zz7PgGX0-kHA/edit?usp=sharing"",""แผน!J81"")"),0)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0</v>
      </c>
      <c r="J86" s="143">
        <f>J98</f>
        <v>0</v>
      </c>
      <c r="K86" s="144">
        <f ca="1">IF(I86&gt;0,J86*100/I86,0)</f>
        <v>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0</v>
      </c>
      <c r="J87" s="143">
        <f>J99</f>
        <v>0</v>
      </c>
      <c r="K87" s="144">
        <f ca="1">IF(I87&gt;0,J87*100/I87,0)</f>
        <v>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46" t="s">
        <v>17</v>
      </c>
      <c r="E88" s="147"/>
      <c r="F88" s="147"/>
      <c r="G88" s="150"/>
      <c r="H88" s="151" t="s">
        <v>12</v>
      </c>
      <c r="I88" s="420"/>
      <c r="J88" s="420"/>
      <c r="K88" s="153"/>
      <c r="L88" s="154">
        <f ca="1">L89+L90</f>
        <v>333500</v>
      </c>
      <c r="M88" s="154">
        <f ca="1">M89+M90</f>
        <v>333500</v>
      </c>
      <c r="N88" s="154">
        <f ca="1">N89+N90</f>
        <v>333499.98</v>
      </c>
      <c r="O88" s="154">
        <f t="shared" ref="O88:O96" ca="1" si="25">IF(L88&gt;0,N88*100/L88,0)</f>
        <v>99.999994002998505</v>
      </c>
      <c r="P88" s="154">
        <f t="shared" ref="P88:P96" ca="1" si="26">IF(M88&gt;0,N88*100/M88,0)</f>
        <v>99.999994002998505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6"/>
      <c r="J89" s="616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6"/>
      <c r="J90" s="616"/>
      <c r="K90" s="92"/>
      <c r="L90" s="92">
        <f t="shared" ca="1" si="27"/>
        <v>333500</v>
      </c>
      <c r="M90" s="92">
        <f t="shared" ca="1" si="27"/>
        <v>333500</v>
      </c>
      <c r="N90" s="92">
        <f t="shared" ca="1" si="27"/>
        <v>333499.98</v>
      </c>
      <c r="O90" s="92">
        <f t="shared" ca="1" si="25"/>
        <v>99.999994002998505</v>
      </c>
      <c r="P90" s="92">
        <f t="shared" ca="1" si="26"/>
        <v>99.999994002998505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333500</v>
      </c>
      <c r="M91" s="497">
        <f ca="1">M92+M93</f>
        <v>333500</v>
      </c>
      <c r="N91" s="497">
        <f ca="1">N92+N93</f>
        <v>333499.98</v>
      </c>
      <c r="O91" s="497">
        <f t="shared" ca="1" si="25"/>
        <v>99.999994002998505</v>
      </c>
      <c r="P91" s="497">
        <f t="shared" ca="1" si="26"/>
        <v>99.999994002998505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IFERROR(__xludf.DUMMYFUNCTION("IMPORTRANGE(""https://docs.google.com/spreadsheets/d/1MeEWN-I1oV_STSDYn1IFDPWt_1FKiwhDph83XaGc0o0/edit?usp=sharing"",""งบพรบ!AQ81"")"),333500)</f>
        <v>333500</v>
      </c>
      <c r="M93" s="92">
        <f ca="1">IFERROR(__xludf.DUMMYFUNCTION("IMPORTRANGE(""https://docs.google.com/spreadsheets/d/1MeEWN-I1oV_STSDYn1IFDPWt_1FKiwhDph83XaGc0o0/edit?usp=sharing"",""งบพรบ!AV81"")"),333500)</f>
        <v>333500</v>
      </c>
      <c r="N93" s="92">
        <f ca="1">IFERROR(__xludf.DUMMYFUNCTION("IMPORTRANGE(""https://docs.google.com/spreadsheets/d/1MeEWN-I1oV_STSDYn1IFDPWt_1FKiwhDph83XaGc0o0/edit?usp=sharing"",""งบพรบ!AX81"")"),333499.98)</f>
        <v>333499.98</v>
      </c>
      <c r="O93" s="92">
        <f t="shared" ca="1" si="25"/>
        <v>99.999994002998505</v>
      </c>
      <c r="P93" s="92">
        <f t="shared" ca="1" si="26"/>
        <v>99.999994002998505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IFERROR(__xludf.DUMMYFUNCTION("IMPORTRANGE(""https://docs.google.com/spreadsheets/d/1MeEWN-I1oV_STSDYn1IFDPWt_1FKiwhDph83XaGc0o0/edit?usp=sharing"",""งบพรบ!AT81"")"),0)</f>
        <v>0</v>
      </c>
      <c r="M96" s="92">
        <f ca="1">IFERROR(__xludf.DUMMYFUNCTION("IMPORTRANGE(""https://docs.google.com/spreadsheets/d/1MeEWN-I1oV_STSDYn1IFDPWt_1FKiwhDph83XaGc0o0/edit?usp=sharing"",""งบพรบ!AW81"")"),0)</f>
        <v>0</v>
      </c>
      <c r="N96" s="92">
        <f ca="1">IFERROR(__xludf.DUMMYFUNCTION("IMPORTRANGE(""https://docs.google.com/spreadsheets/d/1MeEWN-I1oV_STSDYn1IFDPWt_1FKiwhDph83XaGc0o0/edit?usp=sharing"",""งบพรบ!AY81"")"),0)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47" t="s">
        <v>38</v>
      </c>
      <c r="E97" s="172"/>
      <c r="F97" s="172"/>
      <c r="G97" s="173"/>
      <c r="H97" s="761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7" t="s">
        <v>47</v>
      </c>
      <c r="E98" s="447"/>
      <c r="F98" s="177"/>
      <c r="G98" s="178"/>
      <c r="H98" s="622" t="s">
        <v>46</v>
      </c>
      <c r="I98" s="269">
        <f ca="1">IFERROR(__xludf.DUMMYFUNCTION("IMPORTRANGE(""https://docs.google.com/spreadsheets/d/1QqKyyYR6Q21VydFLVH3TRQUabQu_ym0Zz7PgGX0-kHA/edit?usp=sharing"",""แผน!K81"")"),0)</f>
        <v>0</v>
      </c>
      <c r="J98" s="269">
        <f>J102</f>
        <v>0</v>
      </c>
      <c r="K98" s="497">
        <f ca="1">IF(I98&gt;0,J98*100/I98,0)</f>
        <v>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7" t="s">
        <v>48</v>
      </c>
      <c r="E99" s="447"/>
      <c r="F99" s="177"/>
      <c r="G99" s="178"/>
      <c r="H99" s="622" t="s">
        <v>35</v>
      </c>
      <c r="I99" s="269">
        <f ca="1">IFERROR(__xludf.DUMMYFUNCTION("IMPORTRANGE(""https://docs.google.com/spreadsheets/d/1QqKyyYR6Q21VydFLVH3TRQUabQu_ym0Zz7PgGX0-kHA/edit?usp=sharing"",""แผน!L81"")"),0)</f>
        <v>0</v>
      </c>
      <c r="J99" s="269">
        <f>J104</f>
        <v>0</v>
      </c>
      <c r="K99" s="497">
        <f ca="1">IF(I99&gt;0,J99*100/I99,0)</f>
        <v>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22" t="s">
        <v>49</v>
      </c>
      <c r="I100" s="269">
        <f ca="1">IFERROR(__xludf.DUMMYFUNCTION("IMPORTRANGE(""https://docs.google.com/spreadsheets/d/1QqKyyYR6Q21VydFLVH3TRQUabQu_ym0Zz7PgGX0-kHA/edit?usp=sharing"",""แผน!M81"")"),1)</f>
        <v>1</v>
      </c>
      <c r="J100" s="269">
        <f>J107+J110</f>
        <v>1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22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5" t="s">
        <v>47</v>
      </c>
      <c r="F102" s="177"/>
      <c r="G102" s="178"/>
      <c r="H102" s="622" t="s">
        <v>46</v>
      </c>
      <c r="I102" s="269">
        <f ca="1">IFERROR(__xludf.DUMMYFUNCTION("IMPORTRANGE(""https://docs.google.com/spreadsheets/d/1QqKyyYR6Q21VydFLVH3TRQUabQu_ym0Zz7PgGX0-kHA/edit?usp=sharing"",""แผน!N81"")"),0)</f>
        <v>0</v>
      </c>
      <c r="J102" s="214">
        <v>0</v>
      </c>
      <c r="K102" s="497">
        <f ca="1">IF(I102&gt;0,J102*100/I102,0)</f>
        <v>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7" t="s">
        <v>51</v>
      </c>
      <c r="F103" s="177"/>
      <c r="G103" s="178"/>
      <c r="H103" s="622" t="s">
        <v>35</v>
      </c>
      <c r="I103" s="269">
        <f ca="1">IFERROR(__xludf.DUMMYFUNCTION("IMPORTRANGE(""https://docs.google.com/spreadsheets/d/1QqKyyYR6Q21VydFLVH3TRQUabQu_ym0Zz7PgGX0-kHA/edit?usp=sharing"",""แผน!O81"")"),0)</f>
        <v>0</v>
      </c>
      <c r="J103" s="214">
        <v>0</v>
      </c>
      <c r="K103" s="497">
        <f ca="1">IF(I103&gt;0,J103*100/I103,0)</f>
        <v>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22" t="s">
        <v>35</v>
      </c>
      <c r="I104" s="269">
        <f ca="1">IFERROR(__xludf.DUMMYFUNCTION("IMPORTRANGE(""https://docs.google.com/spreadsheets/d/1QqKyyYR6Q21VydFLVH3TRQUabQu_ym0Zz7PgGX0-kHA/edit?usp=sharing"",""แผน!O81"")"),0)</f>
        <v>0</v>
      </c>
      <c r="J104" s="214">
        <v>0</v>
      </c>
      <c r="K104" s="497">
        <f ca="1">IF(I104&gt;0,J104*100/I104,0)</f>
        <v>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7" t="s">
        <v>54</v>
      </c>
      <c r="F106" s="177"/>
      <c r="G106" s="178"/>
      <c r="H106" s="622" t="s">
        <v>49</v>
      </c>
      <c r="I106" s="269">
        <f ca="1">IFERROR(__xludf.DUMMYFUNCTION("IMPORTRANGE(""https://docs.google.com/spreadsheets/d/1QqKyyYR6Q21VydFLVH3TRQUabQu_ym0Zz7PgGX0-kHA/edit?usp=sharing"",""แผน!P81"")"),1)</f>
        <v>1</v>
      </c>
      <c r="J106" s="21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22" t="s">
        <v>49</v>
      </c>
      <c r="I107" s="269">
        <f ca="1">IFERROR(__xludf.DUMMYFUNCTION("IMPORTRANGE(""https://docs.google.com/spreadsheets/d/1QqKyyYR6Q21VydFLVH3TRQUabQu_ym0Zz7PgGX0-kHA/edit?usp=sharing"",""แผน!P81"")"),1)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7" t="s">
        <v>57</v>
      </c>
      <c r="F109" s="177"/>
      <c r="G109" s="178"/>
      <c r="H109" s="622" t="s">
        <v>49</v>
      </c>
      <c r="I109" s="269">
        <f ca="1">IFERROR(__xludf.DUMMYFUNCTION("IMPORTRANGE(""https://docs.google.com/spreadsheets/d/1QqKyyYR6Q21VydFLVH3TRQUabQu_ym0Zz7PgGX0-kHA/edit?usp=sharing"",""แผน!Q81"")"),0)</f>
        <v>0</v>
      </c>
      <c r="J109" s="214">
        <v>0</v>
      </c>
      <c r="K109" s="497">
        <f t="shared" ref="K109:K116" ca="1" si="28">IF(I109&gt;0,J109*100/I109,0)</f>
        <v>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22" t="s">
        <v>49</v>
      </c>
      <c r="I110" s="269">
        <f ca="1">IFERROR(__xludf.DUMMYFUNCTION("IMPORTRANGE(""https://docs.google.com/spreadsheets/d/1QqKyyYR6Q21VydFLVH3TRQUabQu_ym0Zz7PgGX0-kHA/edit?usp=sharing"",""แผน!Q81"")"),0)</f>
        <v>0</v>
      </c>
      <c r="J110" s="214">
        <v>0</v>
      </c>
      <c r="K110" s="497">
        <f t="shared" ca="1" si="28"/>
        <v>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6" t="s">
        <v>35</v>
      </c>
      <c r="I111" s="192">
        <f ca="1">IFERROR(__xludf.DUMMYFUNCTION("IMPORTRANGE(""https://docs.google.com/spreadsheets/d/1QqKyyYR6Q21VydFLVH3TRQUabQu_ym0Zz7PgGX0-kHA/edit?usp=sharing"",""แผน!R81"")"),0)</f>
        <v>0</v>
      </c>
      <c r="J111" s="680">
        <f>J114</f>
        <v>0</v>
      </c>
      <c r="K111" s="194">
        <f t="shared" ca="1" si="28"/>
        <v>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1</v>
      </c>
      <c r="J112" s="680">
        <f>J115+J116</f>
        <v>1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31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IFERROR(__xludf.DUMMYFUNCTION("IMPORTRANGE(""https://docs.google.com/spreadsheets/d/1QqKyyYR6Q21VydFLVH3TRQUabQu_ym0Zz7PgGX0-kHA/edit?usp=sharing"",""แผน!R81"")"),0)</f>
        <v>0</v>
      </c>
      <c r="J113" s="214"/>
      <c r="K113" s="497">
        <f t="shared" ca="1" si="28"/>
        <v>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7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IFERROR(__xludf.DUMMYFUNCTION("IMPORTRANGE(""https://docs.google.com/spreadsheets/d/1QqKyyYR6Q21VydFLVH3TRQUabQu_ym0Zz7PgGX0-kHA/edit?usp=sharing"",""แผน!R81"")"),0)</f>
        <v>0</v>
      </c>
      <c r="J114" s="214"/>
      <c r="K114" s="497">
        <f t="shared" ca="1" si="28"/>
        <v>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7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IFERROR(__xludf.DUMMYFUNCTION("IMPORTRANGE(""https://docs.google.com/spreadsheets/d/1QqKyyYR6Q21VydFLVH3TRQUabQu_ym0Zz7PgGX0-kHA/edit?usp=sharing"",""แผน!S81"")"),1)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7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IFERROR(__xludf.DUMMYFUNCTION("IMPORTRANGE(""https://docs.google.com/spreadsheets/d/1QqKyyYR6Q21VydFLVH3TRQUabQu_ym0Zz7PgGX0-kHA/edit?usp=sharing"",""แผน!T81"")"),0)</f>
        <v>0</v>
      </c>
      <c r="J116" s="214"/>
      <c r="K116" s="497">
        <f t="shared" ca="1" si="28"/>
        <v>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46" t="s">
        <v>17</v>
      </c>
      <c r="E119" s="147"/>
      <c r="F119" s="147"/>
      <c r="G119" s="150"/>
      <c r="H119" s="151" t="s">
        <v>12</v>
      </c>
      <c r="I119" s="420"/>
      <c r="J119" s="420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6"/>
      <c r="J120" s="616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6"/>
      <c r="J121" s="616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IFERROR(__xludf.DUMMYFUNCTION("IMPORTRANGE(""https://docs.google.com/spreadsheets/d/1MeEWN-I1oV_STSDYn1IFDPWt_1FKiwhDph83XaGc0o0/edit?usp=sharing"",""งบพรบ!BA81"")"),0)</f>
        <v>0</v>
      </c>
      <c r="M124" s="92">
        <f ca="1">IFERROR(__xludf.DUMMYFUNCTION("IMPORTRANGE(""https://docs.google.com/spreadsheets/d/1MeEWN-I1oV_STSDYn1IFDPWt_1FKiwhDph83XaGc0o0/edit?usp=sharing"",""งบพรบ!BF81"")"),0)</f>
        <v>0</v>
      </c>
      <c r="N124" s="92">
        <f ca="1">IFERROR(__xludf.DUMMYFUNCTION("IMPORTRANGE(""https://docs.google.com/spreadsheets/d/1MeEWN-I1oV_STSDYn1IFDPWt_1FKiwhDph83XaGc0o0/edit?usp=sharing"",""งบพรบ!BH81"")"),0)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IFERROR(__xludf.DUMMYFUNCTION("IMPORTRANGE(""https://docs.google.com/spreadsheets/d/1MeEWN-I1oV_STSDYn1IFDPWt_1FKiwhDph83XaGc0o0/edit?usp=sharing"",""งบพรบ!BD81"")"),0)</f>
        <v>0</v>
      </c>
      <c r="M127" s="92">
        <f ca="1">IFERROR(__xludf.DUMMYFUNCTION("IMPORTRANGE(""https://docs.google.com/spreadsheets/d/1MeEWN-I1oV_STSDYn1IFDPWt_1FKiwhDph83XaGc0o0/edit?usp=sharing"",""งบพรบ!BG81"")"),0)</f>
        <v>0</v>
      </c>
      <c r="N127" s="92">
        <f ca="1">IFERROR(__xludf.DUMMYFUNCTION("IMPORTRANGE(""https://docs.google.com/spreadsheets/d/1MeEWN-I1oV_STSDYn1IFDPWt_1FKiwhDph83XaGc0o0/edit?usp=sharing"",""งบพรบ!BI81"")"),0)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46" t="s">
        <v>17</v>
      </c>
      <c r="E132" s="147"/>
      <c r="F132" s="147"/>
      <c r="G132" s="150"/>
      <c r="H132" s="151" t="s">
        <v>12</v>
      </c>
      <c r="I132" s="420"/>
      <c r="J132" s="420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6"/>
      <c r="J133" s="616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6"/>
      <c r="J134" s="616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IFERROR(__xludf.DUMMYFUNCTION("IMPORTRANGE(""https://docs.google.com/spreadsheets/d/1MeEWN-I1oV_STSDYn1IFDPWt_1FKiwhDph83XaGc0o0/edit?usp=sharing"",""งบพรบ!BK81"")"),0)</f>
        <v>0</v>
      </c>
      <c r="M137" s="92">
        <f ca="1">IFERROR(__xludf.DUMMYFUNCTION("IMPORTRANGE(""https://docs.google.com/spreadsheets/d/1MeEWN-I1oV_STSDYn1IFDPWt_1FKiwhDph83XaGc0o0/edit?usp=sharing"",""งบพรบ!BP81"")"),0)</f>
        <v>0</v>
      </c>
      <c r="N137" s="92">
        <f ca="1">IFERROR(__xludf.DUMMYFUNCTION("IMPORTRANGE(""https://docs.google.com/spreadsheets/d/1MeEWN-I1oV_STSDYn1IFDPWt_1FKiwhDph83XaGc0o0/edit?usp=sharing"",""งบพรบ!BR81"")"),0)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IFERROR(__xludf.DUMMYFUNCTION("IMPORTRANGE(""https://docs.google.com/spreadsheets/d/1MeEWN-I1oV_STSDYn1IFDPWt_1FKiwhDph83XaGc0o0/edit?usp=sharing"",""งบพรบ!BN81"")"),0)</f>
        <v>0</v>
      </c>
      <c r="M140" s="92">
        <f ca="1">IFERROR(__xludf.DUMMYFUNCTION("IMPORTRANGE(""https://docs.google.com/spreadsheets/d/1MeEWN-I1oV_STSDYn1IFDPWt_1FKiwhDph83XaGc0o0/edit?usp=sharing"",""งบพรบ!BQ81"")"),0)</f>
        <v>0</v>
      </c>
      <c r="N140" s="92">
        <f ca="1">IFERROR(__xludf.DUMMYFUNCTION("IMPORTRANGE(""https://docs.google.com/spreadsheets/d/1MeEWN-I1oV_STSDYn1IFDPWt_1FKiwhDph83XaGc0o0/edit?usp=sharing"",""งบพรบ!BS81"")"),0)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4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IFERROR(__xludf.DUMMYFUNCTION("IMPORTRANGE(""https://docs.google.com/spreadsheets/d/1QqKyyYR6Q21VydFLVH3TRQUabQu_ym0Zz7PgGX0-kHA/edit?usp=sharing"",""แผน!U81"")"),0)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IFERROR(__xludf.DUMMYFUNCTION("IMPORTRANGE(""https://docs.google.com/spreadsheets/d/1QqKyyYR6Q21VydFLVH3TRQUabQu_ym0Zz7PgGX0-kHA/edit?usp=sharing"",""แผน!V81"")"),0)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IFERROR(__xludf.DUMMYFUNCTION("IMPORTRANGE(""https://docs.google.com/spreadsheets/d/1QqKyyYR6Q21VydFLVH3TRQUabQu_ym0Zz7PgGX0-kHA/edit?usp=sharing"",""แผน!W81"")"),0)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 hidden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 hidden="1">
      <c r="A148" s="216"/>
      <c r="B148" s="208" t="s">
        <v>77</v>
      </c>
      <c r="C148" s="208"/>
      <c r="D148" s="208"/>
      <c r="E148" s="859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6"/>
      <c r="B149" s="147"/>
      <c r="C149" s="148" t="s">
        <v>16</v>
      </c>
      <c r="D149" s="846" t="s">
        <v>17</v>
      </c>
      <c r="E149" s="147"/>
      <c r="F149" s="147"/>
      <c r="G149" s="150"/>
      <c r="H149" s="151" t="s">
        <v>12</v>
      </c>
      <c r="I149" s="420"/>
      <c r="J149" s="420"/>
      <c r="K149" s="153"/>
      <c r="L149" s="154">
        <f ca="1">L150+L151</f>
        <v>0</v>
      </c>
      <c r="M149" s="154">
        <f ca="1">M150+M151</f>
        <v>0</v>
      </c>
      <c r="N149" s="154">
        <f ca="1">N150+N151</f>
        <v>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6"/>
      <c r="J150" s="616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6"/>
      <c r="J151" s="616"/>
      <c r="K151" s="92"/>
      <c r="L151" s="92">
        <f t="shared" ca="1" si="37"/>
        <v>0</v>
      </c>
      <c r="M151" s="92">
        <f t="shared" ca="1" si="37"/>
        <v>0</v>
      </c>
      <c r="N151" s="92">
        <f t="shared" ca="1" si="37"/>
        <v>0</v>
      </c>
      <c r="O151" s="92">
        <f t="shared" ca="1" si="35"/>
        <v>0</v>
      </c>
      <c r="P151" s="92">
        <f t="shared" ca="1" si="36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0</v>
      </c>
      <c r="N152" s="497">
        <f ca="1">N153+N154</f>
        <v>0</v>
      </c>
      <c r="O152" s="497">
        <f t="shared" ca="1" si="35"/>
        <v>0</v>
      </c>
      <c r="P152" s="497">
        <f t="shared" ca="1" si="36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IFERROR(__xludf.DUMMYFUNCTION("IMPORTRANGE(""https://docs.google.com/spreadsheets/d/1MeEWN-I1oV_STSDYn1IFDPWt_1FKiwhDph83XaGc0o0/edit?usp=sharing"",""งบพรบ!BU81"")"),0)</f>
        <v>0</v>
      </c>
      <c r="M154" s="92">
        <f ca="1">IFERROR(__xludf.DUMMYFUNCTION("IMPORTRANGE(""https://docs.google.com/spreadsheets/d/1MeEWN-I1oV_STSDYn1IFDPWt_1FKiwhDph83XaGc0o0/edit?usp=sharing"",""งบพรบ!BZ81"")"),0)</f>
        <v>0</v>
      </c>
      <c r="N154" s="92">
        <f ca="1">IFERROR(__xludf.DUMMYFUNCTION("IMPORTRANGE(""https://docs.google.com/spreadsheets/d/1MeEWN-I1oV_STSDYn1IFDPWt_1FKiwhDph83XaGc0o0/edit?usp=sharing"",""งบพรบ!CB81"")"),0)</f>
        <v>0</v>
      </c>
      <c r="O154" s="92">
        <f t="shared" ca="1" si="35"/>
        <v>0</v>
      </c>
      <c r="P154" s="92">
        <f t="shared" ca="1" si="36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IFERROR(__xludf.DUMMYFUNCTION("IMPORTRANGE(""https://docs.google.com/spreadsheets/d/1MeEWN-I1oV_STSDYn1IFDPWt_1FKiwhDph83XaGc0o0/edit?usp=sharing"",""งบพรบ!BX81"")"),0)</f>
        <v>0</v>
      </c>
      <c r="M157" s="92">
        <f ca="1">IFERROR(__xludf.DUMMYFUNCTION("IMPORTRANGE(""https://docs.google.com/spreadsheets/d/1MeEWN-I1oV_STSDYn1IFDPWt_1FKiwhDph83XaGc0o0/edit?usp=sharing"",""งบพรบ!CA81"")"),0)</f>
        <v>0</v>
      </c>
      <c r="N157" s="92">
        <f ca="1">IFERROR(__xludf.DUMMYFUNCTION("IMPORTRANGE(""https://docs.google.com/spreadsheets/d/1MeEWN-I1oV_STSDYn1IFDPWt_1FKiwhDph83XaGc0o0/edit?usp=sharing"",""งบพรบ!CC81"")"),0)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4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IFERROR(__xludf.DUMMYFUNCTION("IMPORTRANGE(""https://docs.google.com/spreadsheets/d/1QqKyyYR6Q21VydFLVH3TRQUabQu_ym0Zz7PgGX0-kHA/edit?usp=sharing"",""แผน!X81"")"),0)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6"/>
      <c r="J160" s="616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58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13</v>
      </c>
      <c r="J164" s="252">
        <f>J174+J177</f>
        <v>13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46" t="s">
        <v>17</v>
      </c>
      <c r="E165" s="147"/>
      <c r="F165" s="147"/>
      <c r="G165" s="150"/>
      <c r="H165" s="151" t="s">
        <v>12</v>
      </c>
      <c r="I165" s="420"/>
      <c r="J165" s="420"/>
      <c r="K165" s="153"/>
      <c r="L165" s="154">
        <f ca="1">L166+L167</f>
        <v>24065</v>
      </c>
      <c r="M165" s="154">
        <f ca="1">M166+M167</f>
        <v>68955</v>
      </c>
      <c r="N165" s="154">
        <f ca="1">N166+N167</f>
        <v>68955</v>
      </c>
      <c r="O165" s="154">
        <f t="shared" ref="O165:O173" ca="1" si="38">IF(L165&gt;0,N165*100/L165,0)</f>
        <v>286.53646374402661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6"/>
      <c r="J166" s="616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6"/>
      <c r="J167" s="616"/>
      <c r="K167" s="92"/>
      <c r="L167" s="92">
        <f t="shared" ca="1" si="40"/>
        <v>24065</v>
      </c>
      <c r="M167" s="92">
        <f t="shared" ca="1" si="40"/>
        <v>68955</v>
      </c>
      <c r="N167" s="92">
        <f t="shared" ca="1" si="40"/>
        <v>68955</v>
      </c>
      <c r="O167" s="92">
        <f t="shared" ca="1" si="38"/>
        <v>286.53646374402661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24065</v>
      </c>
      <c r="M168" s="497">
        <f ca="1">M169+M170</f>
        <v>68955</v>
      </c>
      <c r="N168" s="497">
        <f ca="1">N169+N170</f>
        <v>68955</v>
      </c>
      <c r="O168" s="497">
        <f t="shared" ca="1" si="38"/>
        <v>286.53646374402661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IFERROR(__xludf.DUMMYFUNCTION("IMPORTRANGE(""https://docs.google.com/spreadsheets/d/1MeEWN-I1oV_STSDYn1IFDPWt_1FKiwhDph83XaGc0o0/edit?usp=sharing"",""งบพรบ!CE81"")"),24065)</f>
        <v>24065</v>
      </c>
      <c r="M170" s="92">
        <f ca="1">IFERROR(__xludf.DUMMYFUNCTION("IMPORTRANGE(""https://docs.google.com/spreadsheets/d/1MeEWN-I1oV_STSDYn1IFDPWt_1FKiwhDph83XaGc0o0/edit?usp=sharing"",""งบพรบ!CJ81"")"),68955)</f>
        <v>68955</v>
      </c>
      <c r="N170" s="92">
        <f ca="1">IFERROR(__xludf.DUMMYFUNCTION("IMPORTRANGE(""https://docs.google.com/spreadsheets/d/1MeEWN-I1oV_STSDYn1IFDPWt_1FKiwhDph83XaGc0o0/edit?usp=sharing"",""งบพรบ!CL81"")"),68955)</f>
        <v>68955</v>
      </c>
      <c r="O170" s="92">
        <f t="shared" ca="1" si="38"/>
        <v>286.53646374402661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IFERROR(__xludf.DUMMYFUNCTION("IMPORTRANGE(""https://docs.google.com/spreadsheets/d/1MeEWN-I1oV_STSDYn1IFDPWt_1FKiwhDph83XaGc0o0/edit?usp=sharing"",""งบพรบ!CH81"")"),0)</f>
        <v>0</v>
      </c>
      <c r="M173" s="92">
        <f ca="1">IFERROR(__xludf.DUMMYFUNCTION("IMPORTRANGE(""https://docs.google.com/spreadsheets/d/1MeEWN-I1oV_STSDYn1IFDPWt_1FKiwhDph83XaGc0o0/edit?usp=sharing"",""งบพรบ!CK81"")"),0)</f>
        <v>0</v>
      </c>
      <c r="N173" s="92">
        <f ca="1">IFERROR(__xludf.DUMMYFUNCTION("IMPORTRANGE(""https://docs.google.com/spreadsheets/d/1MeEWN-I1oV_STSDYn1IFDPWt_1FKiwhDph83XaGc0o0/edit?usp=sharing"",""งบพรบ!CM81"")"),0)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13</v>
      </c>
      <c r="J174" s="260">
        <f>J176</f>
        <v>13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47" t="s">
        <v>38</v>
      </c>
      <c r="E175" s="172"/>
      <c r="F175" s="172"/>
      <c r="G175" s="173"/>
      <c r="H175" s="761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5" t="s">
        <v>85</v>
      </c>
      <c r="E176" s="177"/>
      <c r="F176" s="177"/>
      <c r="G176" s="178"/>
      <c r="H176" s="622" t="s">
        <v>35</v>
      </c>
      <c r="I176" s="269">
        <f ca="1">IFERROR(__xludf.DUMMYFUNCTION("IMPORTRANGE(""https://docs.google.com/spreadsheets/d/1QqKyyYR6Q21VydFLVH3TRQUabQu_ym0Zz7PgGX0-kHA/edit?usp=sharing"",""แผน!Y81"")"),13)</f>
        <v>13</v>
      </c>
      <c r="J176" s="214">
        <v>13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61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46" t="s">
        <v>17</v>
      </c>
      <c r="E181" s="147"/>
      <c r="F181" s="147"/>
      <c r="G181" s="150"/>
      <c r="H181" s="151" t="s">
        <v>12</v>
      </c>
      <c r="I181" s="420"/>
      <c r="J181" s="420"/>
      <c r="K181" s="153"/>
      <c r="L181" s="154">
        <f ca="1">L182+L183</f>
        <v>45000</v>
      </c>
      <c r="M181" s="154">
        <f ca="1">M182+M183</f>
        <v>63440</v>
      </c>
      <c r="N181" s="154">
        <f ca="1">N182+N183</f>
        <v>63440</v>
      </c>
      <c r="O181" s="154">
        <f t="shared" ref="O181:O189" ca="1" si="41">IF(L181&gt;0,N181*100/L181,0)</f>
        <v>140.97777777777779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6"/>
      <c r="J182" s="616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6"/>
      <c r="J183" s="616"/>
      <c r="K183" s="92"/>
      <c r="L183" s="92">
        <f t="shared" ca="1" si="43"/>
        <v>45000</v>
      </c>
      <c r="M183" s="92">
        <f t="shared" ca="1" si="43"/>
        <v>63440</v>
      </c>
      <c r="N183" s="92">
        <f t="shared" ca="1" si="43"/>
        <v>63440</v>
      </c>
      <c r="O183" s="92">
        <f t="shared" ca="1" si="41"/>
        <v>140.97777777777779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45000</v>
      </c>
      <c r="M184" s="497">
        <f ca="1">M185+M186</f>
        <v>63440</v>
      </c>
      <c r="N184" s="497">
        <f ca="1">N185+N186</f>
        <v>63440</v>
      </c>
      <c r="O184" s="497">
        <f t="shared" ca="1" si="41"/>
        <v>140.97777777777779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IFERROR(__xludf.DUMMYFUNCTION("IMPORTRANGE(""https://docs.google.com/spreadsheets/d/1MeEWN-I1oV_STSDYn1IFDPWt_1FKiwhDph83XaGc0o0/edit?usp=sharing"",""งบพรบ!CO81"")"),45000)</f>
        <v>45000</v>
      </c>
      <c r="M186" s="92">
        <f ca="1">IFERROR(__xludf.DUMMYFUNCTION("IMPORTRANGE(""https://docs.google.com/spreadsheets/d/1MeEWN-I1oV_STSDYn1IFDPWt_1FKiwhDph83XaGc0o0/edit?usp=sharing"",""งบพรบ!CT81"")"),63440)</f>
        <v>63440</v>
      </c>
      <c r="N186" s="92">
        <f ca="1">IFERROR(__xludf.DUMMYFUNCTION("IMPORTRANGE(""https://docs.google.com/spreadsheets/d/1MeEWN-I1oV_STSDYn1IFDPWt_1FKiwhDph83XaGc0o0/edit?usp=sharing"",""งบพรบ!CV81"")"),63440)</f>
        <v>63440</v>
      </c>
      <c r="O186" s="92">
        <f t="shared" ca="1" si="41"/>
        <v>140.97777777777779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IFERROR(__xludf.DUMMYFUNCTION("IMPORTRANGE(""https://docs.google.com/spreadsheets/d/1MeEWN-I1oV_STSDYn1IFDPWt_1FKiwhDph83XaGc0o0/edit?usp=sharing"",""งบพรบ!CR81"")"),0)</f>
        <v>0</v>
      </c>
      <c r="M189" s="92">
        <f ca="1">IFERROR(__xludf.DUMMYFUNCTION("IMPORTRANGE(""https://docs.google.com/spreadsheets/d/1MeEWN-I1oV_STSDYn1IFDPWt_1FKiwhDph83XaGc0o0/edit?usp=sharing"",""งบพรบ!CU81"")"),0)</f>
        <v>0</v>
      </c>
      <c r="N189" s="92">
        <f ca="1">IFERROR(__xludf.DUMMYFUNCTION("IMPORTRANGE(""https://docs.google.com/spreadsheets/d/1MeEWN-I1oV_STSDYn1IFDPWt_1FKiwhDph83XaGc0o0/edit?usp=sharing"",""งบพรบ!CW81"")"),0)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54" t="s">
        <v>17</v>
      </c>
      <c r="E191" s="147"/>
      <c r="F191" s="147"/>
      <c r="G191" s="150"/>
      <c r="H191" s="274" t="s">
        <v>12</v>
      </c>
      <c r="I191" s="420"/>
      <c r="J191" s="420"/>
      <c r="K191" s="153"/>
      <c r="L191" s="154">
        <f ca="1">IFERROR(__xludf.DUMMYFUNCTION("IMPORTRANGE(""https://docs.google.com/spreadsheets/d/1QqKyyYR6Q21VydFLVH3TRQUabQu_ym0Zz7PgGX0-kHA/edit?usp=sharing"",""แผน!Z81"")"),6000)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47" t="s">
        <v>38</v>
      </c>
      <c r="E192" s="172"/>
      <c r="F192" s="172"/>
      <c r="G192" s="173"/>
      <c r="H192" s="761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7" t="s">
        <v>91</v>
      </c>
      <c r="E193" s="177"/>
      <c r="F193" s="177"/>
      <c r="G193" s="178"/>
      <c r="H193" s="763" t="s">
        <v>90</v>
      </c>
      <c r="I193" s="269">
        <f ca="1">IFERROR(__xludf.DUMMYFUNCTION("IMPORTRANGE(""https://docs.google.com/spreadsheets/d/1QqKyyYR6Q21VydFLVH3TRQUabQu_ym0Zz7PgGX0-kHA/edit?usp=sharing"",""แผน!AC81"")"),4)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7" t="s">
        <v>92</v>
      </c>
      <c r="E194" s="177"/>
      <c r="F194" s="177"/>
      <c r="G194" s="178"/>
      <c r="H194" s="276" t="s">
        <v>35</v>
      </c>
      <c r="I194" s="269"/>
      <c r="J194" s="269">
        <f>J195+J196</f>
        <v>70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7" t="s">
        <v>93</v>
      </c>
      <c r="F195" s="177"/>
      <c r="G195" s="178"/>
      <c r="H195" s="276" t="s">
        <v>35</v>
      </c>
      <c r="I195" s="269"/>
      <c r="J195" s="214">
        <v>70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7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2</v>
      </c>
      <c r="J197" s="271">
        <f>J204</f>
        <v>2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54" t="s">
        <v>17</v>
      </c>
      <c r="E198" s="147"/>
      <c r="F198" s="147"/>
      <c r="G198" s="150"/>
      <c r="H198" s="274" t="s">
        <v>12</v>
      </c>
      <c r="I198" s="419"/>
      <c r="J198" s="419"/>
      <c r="K198" s="279"/>
      <c r="L198" s="154">
        <f ca="1">L199+L200+L201+L202</f>
        <v>31000</v>
      </c>
      <c r="M198" s="154"/>
      <c r="N198" s="154">
        <f>N199+N200+N201+N202</f>
        <v>31000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IFERROR(__xludf.DUMMYFUNCTION("IMPORTRANGE(""https://docs.google.com/spreadsheets/d/1QqKyyYR6Q21VydFLVH3TRQUabQu_ym0Zz7PgGX0-kHA/edit?usp=sharing"",""แผน!AE81"")"),2000)</f>
        <v>2000</v>
      </c>
      <c r="M199" s="497"/>
      <c r="N199" s="826">
        <v>2000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3"/>
      <c r="B200" s="280"/>
      <c r="C200" s="210"/>
      <c r="D200" s="281" t="s">
        <v>98</v>
      </c>
      <c r="E200" s="32"/>
      <c r="F200" s="32"/>
      <c r="G200" s="34"/>
      <c r="H200" s="622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IFERROR(__xludf.DUMMYFUNCTION("IMPORTRANGE(""https://docs.google.com/spreadsheets/d/1QqKyyYR6Q21VydFLVH3TRQUabQu_ym0Zz7PgGX0-kHA/edit?usp=sharing"",""แผน!AF81"")"),16000)</f>
        <v>16000</v>
      </c>
      <c r="M200" s="497"/>
      <c r="N200" s="826">
        <v>16000</v>
      </c>
      <c r="O200" s="497"/>
      <c r="P200" s="497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2"/>
      <c r="F201" s="32"/>
      <c r="G201" s="34"/>
      <c r="H201" s="622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IFERROR(__xludf.DUMMYFUNCTION("IMPORTRANGE(""https://docs.google.com/spreadsheets/d/1QqKyyYR6Q21VydFLVH3TRQUabQu_ym0Zz7PgGX0-kHA/edit?usp=sharing"",""แผน!AG81"")"),8000)</f>
        <v>8000</v>
      </c>
      <c r="M201" s="497"/>
      <c r="N201" s="826">
        <v>8000</v>
      </c>
      <c r="O201" s="497"/>
      <c r="P201" s="497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2"/>
      <c r="F202" s="32"/>
      <c r="G202" s="34"/>
      <c r="H202" s="622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IFERROR(__xludf.DUMMYFUNCTION("IMPORTRANGE(""https://docs.google.com/spreadsheets/d/1QqKyyYR6Q21VydFLVH3TRQUabQu_ym0Zz7PgGX0-kHA/edit?usp=sharing"",""แผน!AH81"")"),5000)</f>
        <v>5000</v>
      </c>
      <c r="M202" s="497"/>
      <c r="N202" s="826">
        <v>5000</v>
      </c>
      <c r="O202" s="497"/>
      <c r="P202" s="497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69"/>
      <c r="B203" s="170"/>
      <c r="C203" s="210" t="s">
        <v>16</v>
      </c>
      <c r="D203" s="847" t="s">
        <v>38</v>
      </c>
      <c r="E203" s="172"/>
      <c r="F203" s="172"/>
      <c r="G203" s="173"/>
      <c r="H203" s="761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61" t="s">
        <v>96</v>
      </c>
      <c r="I204" s="269">
        <f ca="1">IFERROR(__xludf.DUMMYFUNCTION("IMPORTRANGE(""https://docs.google.com/spreadsheets/d/1QqKyyYR6Q21VydFLVH3TRQUabQu_ym0Zz7PgGX0-kHA/edit?usp=sharing"",""แผน!AI81"")"),2)</f>
        <v>2</v>
      </c>
      <c r="J204" s="214">
        <v>2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7" t="s">
        <v>59</v>
      </c>
      <c r="E205" s="177"/>
      <c r="F205" s="177"/>
      <c r="G205" s="178"/>
      <c r="H205" s="761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31" t="s">
        <v>102</v>
      </c>
      <c r="F206" s="286"/>
      <c r="G206" s="287"/>
      <c r="H206" s="288" t="s">
        <v>96</v>
      </c>
      <c r="I206" s="269">
        <v>2</v>
      </c>
      <c r="J206" s="214">
        <v>2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7"/>
      <c r="E207" s="447" t="s">
        <v>103</v>
      </c>
      <c r="F207" s="177"/>
      <c r="G207" s="177"/>
      <c r="H207" s="289" t="s">
        <v>104</v>
      </c>
      <c r="I207" s="269">
        <v>1</v>
      </c>
      <c r="J207" s="214">
        <v>1</v>
      </c>
      <c r="K207" s="162">
        <f>IF(I207&gt;0,J207*100/I207,0)</f>
        <v>100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>
      <c r="A209" s="146"/>
      <c r="B209" s="147"/>
      <c r="C209" s="148" t="s">
        <v>16</v>
      </c>
      <c r="D209" s="854" t="s">
        <v>17</v>
      </c>
      <c r="E209" s="147"/>
      <c r="F209" s="147"/>
      <c r="G209" s="150"/>
      <c r="H209" s="274" t="s">
        <v>12</v>
      </c>
      <c r="I209" s="419"/>
      <c r="J209" s="419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IFERROR(__xludf.DUMMYFUNCTION("IMPORTRANGE(""https://docs.google.com/spreadsheets/d/1QqKyyYR6Q21VydFLVH3TRQUabQu_ym0Zz7PgGX0-kHA/edit?usp=sharing"",""แผน!AK81"")"),0)</f>
        <v>0</v>
      </c>
      <c r="M210" s="497"/>
      <c r="N210" s="826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>
      <c r="A211" s="283"/>
      <c r="B211" s="280"/>
      <c r="C211" s="291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IFERROR(__xludf.DUMMYFUNCTION("IMPORTRANGE(""https://docs.google.com/spreadsheets/d/1QqKyyYR6Q21VydFLVH3TRQUabQu_ym0Zz7PgGX0-kHA/edit?usp=sharing"",""แผน!AL81"")"),0)</f>
        <v>0</v>
      </c>
      <c r="M211" s="497"/>
      <c r="N211" s="826">
        <v>0</v>
      </c>
      <c r="O211" s="497"/>
      <c r="P211" s="497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>
      <c r="A212" s="283"/>
      <c r="B212" s="280"/>
      <c r="C212" s="291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IFERROR(__xludf.DUMMYFUNCTION("IMPORTRANGE(""https://docs.google.com/spreadsheets/d/1QqKyyYR6Q21VydFLVH3TRQUabQu_ym0Zz7PgGX0-kHA/edit?usp=sharing"",""แผน!AM81"")"),0)</f>
        <v>0</v>
      </c>
      <c r="M212" s="497"/>
      <c r="N212" s="826">
        <v>0</v>
      </c>
      <c r="O212" s="497"/>
      <c r="P212" s="497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>
      <c r="A213" s="169"/>
      <c r="B213" s="170"/>
      <c r="C213" s="291" t="s">
        <v>16</v>
      </c>
      <c r="D213" s="847" t="s">
        <v>38</v>
      </c>
      <c r="E213" s="172"/>
      <c r="F213" s="172"/>
      <c r="G213" s="173"/>
      <c r="H213" s="761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>
      <c r="A214" s="169"/>
      <c r="B214" s="170"/>
      <c r="C214" s="170"/>
      <c r="D214" s="175" t="s">
        <v>106</v>
      </c>
      <c r="E214" s="177"/>
      <c r="F214" s="177"/>
      <c r="G214" s="178"/>
      <c r="H214" s="761" t="s">
        <v>96</v>
      </c>
      <c r="I214" s="269">
        <f ca="1">IFERROR(__xludf.DUMMYFUNCTION("IMPORTRANGE(""https://docs.google.com/spreadsheets/d/1QqKyyYR6Q21VydFLVH3TRQUabQu_ym0Zz7PgGX0-kHA/edit?usp=sharing"",""แผน!AN81"")"),0)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>
      <c r="A215" s="169"/>
      <c r="B215" s="170"/>
      <c r="C215" s="170"/>
      <c r="D215" s="175" t="s">
        <v>107</v>
      </c>
      <c r="E215" s="177"/>
      <c r="F215" s="177"/>
      <c r="G215" s="178"/>
      <c r="H215" s="761" t="s">
        <v>96</v>
      </c>
      <c r="I215" s="269">
        <f ca="1">IFERROR(__xludf.DUMMYFUNCTION("IMPORTRANGE(""https://docs.google.com/spreadsheets/d/1QqKyyYR6Q21VydFLVH3TRQUabQu_ym0Zz7PgGX0-kHA/edit?usp=sharing"",""แผน!AN81"")"),0)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ca="1">I224</f>
        <v>20000</v>
      </c>
      <c r="J216" s="271">
        <f>J224</f>
        <v>20000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54" t="s">
        <v>17</v>
      </c>
      <c r="E217" s="147"/>
      <c r="F217" s="147"/>
      <c r="G217" s="150"/>
      <c r="H217" s="274" t="s">
        <v>12</v>
      </c>
      <c r="I217" s="419"/>
      <c r="J217" s="419"/>
      <c r="K217" s="279"/>
      <c r="L217" s="154">
        <f ca="1">L218+L219+L220</f>
        <v>8000</v>
      </c>
      <c r="M217" s="154"/>
      <c r="N217" s="154">
        <f ca="1">N218+N219+N220</f>
        <v>8000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IFERROR(__xludf.DUMMYFUNCTION("IMPORTRANGE(""https://docs.google.com/spreadsheets/d/1QqKyyYR6Q21VydFLVH3TRQUabQu_ym0Zz7PgGX0-kHA/edit?usp=sharing"",""แผน!AP81"")"),3000)</f>
        <v>3000</v>
      </c>
      <c r="M218" s="497"/>
      <c r="N218" s="826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3"/>
      <c r="B219" s="280"/>
      <c r="C219" s="291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IFERROR(__xludf.DUMMYFUNCTION("IMPORTRANGE(""https://docs.google.com/spreadsheets/d/1QqKyyYR6Q21VydFLVH3TRQUabQu_ym0Zz7PgGX0-kHA/edit?usp=sharing"",""แผน!AQ81"")"),5000)</f>
        <v>5000</v>
      </c>
      <c r="M219" s="497"/>
      <c r="N219" s="826">
        <v>5000</v>
      </c>
      <c r="O219" s="497"/>
      <c r="P219" s="497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IFERROR(__xludf.DUMMYFUNCTION("IMPORTRANGE(""https://docs.google.com/spreadsheets/d/1QqKyyYR6Q21VydFLVH3TRQUabQu_ym0Zz7PgGX0-kHA/edit?usp=sharing"",""แผน!AR81"")"),0)</f>
        <v>0</v>
      </c>
      <c r="M220" s="497"/>
      <c r="N220" s="497">
        <f ca="1">IFERROR(__xludf.DUMMYFUNCTION("IMPORTRANGE(""https://docs.google.com/spreadsheets/d/1QqKyyYR6Q21VydFLVH3TRQUabQu_ym0Zz7PgGX0-kHA/edit?usp=sharing"",""แผน!AR81"")"),0)</f>
        <v>0</v>
      </c>
      <c r="O220" s="497"/>
      <c r="P220" s="497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69"/>
      <c r="B221" s="170"/>
      <c r="C221" s="291" t="s">
        <v>16</v>
      </c>
      <c r="D221" s="847" t="s">
        <v>38</v>
      </c>
      <c r="E221" s="172"/>
      <c r="F221" s="172"/>
      <c r="G221" s="173"/>
      <c r="H221" s="761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61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63" t="s">
        <v>109</v>
      </c>
      <c r="I223" s="269">
        <f ca="1">IFERROR(__xludf.DUMMYFUNCTION("IMPORTRANGE(""https://docs.google.com/spreadsheets/d/1QqKyyYR6Q21VydFLVH3TRQUabQu_ym0Zz7PgGX0-kHA/edit?usp=sharing"",""แผน!AT81"")"),20000)</f>
        <v>20000</v>
      </c>
      <c r="J223" s="214">
        <v>20000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63" t="s">
        <v>109</v>
      </c>
      <c r="I224" s="269">
        <f ca="1">IFERROR(__xludf.DUMMYFUNCTION("IMPORTRANGE(""https://docs.google.com/spreadsheets/d/1QqKyyYR6Q21VydFLVH3TRQUabQu_ym0Zz7PgGX0-kHA/edit?usp=sharing"",""แผน!AT81"")"),20000)</f>
        <v>20000</v>
      </c>
      <c r="J224" s="214">
        <v>20000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63" t="s">
        <v>35</v>
      </c>
      <c r="I225" s="269">
        <f ca="1">IFERROR(__xludf.DUMMYFUNCTION("IMPORTRANGE(""https://docs.google.com/spreadsheets/d/1QqKyyYR6Q21VydFLVH3TRQUabQu_ym0Zz7PgGX0-kHA/edit?usp=sharing"",""แผน!AS81"")"),0)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0</v>
      </c>
      <c r="J226" s="344">
        <f>J237+J248</f>
        <v>0</v>
      </c>
      <c r="K226" s="345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0</v>
      </c>
      <c r="M227" s="355"/>
      <c r="N227" s="355">
        <f>N238+N249</f>
        <v>0</v>
      </c>
      <c r="O227" s="855"/>
      <c r="P227" s="85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6"/>
      <c r="J229" s="616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6"/>
      <c r="J230" s="616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6"/>
      <c r="J231" s="616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6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6">
        <f ca="1">I244+I255</f>
        <v>0</v>
      </c>
      <c r="J233" s="616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6"/>
      <c r="J234" s="616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6">
        <f>I246+I257</f>
        <v>0</v>
      </c>
      <c r="J235" s="616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6">
        <f>I247+I258</f>
        <v>0</v>
      </c>
      <c r="J236" s="616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270" t="s">
        <v>332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46" t="s">
        <v>17</v>
      </c>
      <c r="E238" s="147"/>
      <c r="F238" s="147"/>
      <c r="G238" s="150"/>
      <c r="H238" s="274" t="s">
        <v>12</v>
      </c>
      <c r="I238" s="419"/>
      <c r="J238" s="419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IFERROR(__xludf.DUMMYFUNCTION("IMPORTRANGE(""https://docs.google.com/spreadsheets/d/1QqKyyYR6Q21VydFLVH3TRQUabQu_ym0Zz7PgGX0-kHA/edit?usp=sharing"",""แผน!AV81"")"),0)</f>
        <v>0</v>
      </c>
      <c r="M239" s="321"/>
      <c r="N239" s="853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IFERROR(__xludf.DUMMYFUNCTION("IMPORTRANGE(""https://docs.google.com/spreadsheets/d/1QqKyyYR6Q21VydFLVH3TRQUabQu_ym0Zz7PgGX0-kHA/edit?usp=sharing"",""แผน!AW81"")"),0)</f>
        <v>0</v>
      </c>
      <c r="M240" s="321"/>
      <c r="N240" s="853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IFERROR(__xludf.DUMMYFUNCTION("IMPORTRANGE(""https://docs.google.com/spreadsheets/d/1QqKyyYR6Q21VydFLVH3TRQUabQu_ym0Zz7PgGX0-kHA/edit?usp=sharing"",""แผน!AX81"")"),0)</f>
        <v>0</v>
      </c>
      <c r="M241" s="321"/>
      <c r="N241" s="853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IFERROR(__xludf.DUMMYFUNCTION("IMPORTRANGE(""https://docs.google.com/spreadsheets/d/1QqKyyYR6Q21VydFLVH3TRQUabQu_ym0Zz7PgGX0-kHA/edit?usp=sharing"",""แผน!AY81"")"),0)</f>
        <v>0</v>
      </c>
      <c r="M242" s="321"/>
      <c r="N242" s="853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1" t="s">
        <v>16</v>
      </c>
      <c r="D243" s="847" t="s">
        <v>38</v>
      </c>
      <c r="E243" s="172"/>
      <c r="F243" s="172"/>
      <c r="G243" s="173"/>
      <c r="H243" s="761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47" t="s">
        <v>117</v>
      </c>
      <c r="E244" s="177"/>
      <c r="F244" s="177"/>
      <c r="G244" s="178"/>
      <c r="H244" s="763" t="s">
        <v>35</v>
      </c>
      <c r="I244" s="269">
        <f ca="1">IFERROR(__xludf.DUMMYFUNCTION("IMPORTRANGE(""https://docs.google.com/spreadsheets/d/1QqKyyYR6Q21VydFLVH3TRQUabQu_ym0Zz7PgGX0-kHA/edit?usp=sharing"",""แผน!BE81"")"),0)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852" t="s">
        <v>43</v>
      </c>
      <c r="E245" s="177"/>
      <c r="F245" s="177"/>
      <c r="G245" s="178"/>
      <c r="H245" s="763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175" t="s">
        <v>118</v>
      </c>
      <c r="F246" s="177"/>
      <c r="G246" s="178"/>
      <c r="H246" s="763" t="s">
        <v>35</v>
      </c>
      <c r="I246" s="269"/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763" t="s">
        <v>66</v>
      </c>
      <c r="I247" s="269"/>
      <c r="J247" s="214">
        <v>0</v>
      </c>
      <c r="K247" s="497">
        <f>IF(I247&gt;0,J247*100/I247,0)</f>
        <v>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54" t="s">
        <v>17</v>
      </c>
      <c r="E249" s="147"/>
      <c r="F249" s="147"/>
      <c r="G249" s="150"/>
      <c r="H249" s="274" t="s">
        <v>12</v>
      </c>
      <c r="I249" s="419"/>
      <c r="J249" s="419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IFERROR(__xludf.DUMMYFUNCTION("IMPORTRANGE(""https://docs.google.com/spreadsheets/d/1QqKyyYR6Q21VydFLVH3TRQUabQu_ym0Zz7PgGX0-kHA/edit?usp=sharing"",""แผน!AZ81"")"),0)</f>
        <v>0</v>
      </c>
      <c r="M250" s="321"/>
      <c r="N250" s="853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IFERROR(__xludf.DUMMYFUNCTION("IMPORTRANGE(""https://docs.google.com/spreadsheets/d/1QqKyyYR6Q21VydFLVH3TRQUabQu_ym0Zz7PgGX0-kHA/edit?usp=sharing"",""แผน!BA81"")"),0)</f>
        <v>0</v>
      </c>
      <c r="M251" s="321"/>
      <c r="N251" s="853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IFERROR(__xludf.DUMMYFUNCTION("IMPORTRANGE(""https://docs.google.com/spreadsheets/d/1QqKyyYR6Q21VydFLVH3TRQUabQu_ym0Zz7PgGX0-kHA/edit?usp=sharing"",""แผน!BB81"")"),0)</f>
        <v>0</v>
      </c>
      <c r="M252" s="321"/>
      <c r="N252" s="853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IFERROR(__xludf.DUMMYFUNCTION("IMPORTRANGE(""https://docs.google.com/spreadsheets/d/1QqKyyYR6Q21VydFLVH3TRQUabQu_ym0Zz7PgGX0-kHA/edit?usp=sharing"",""แผน!BC81"")"),0)</f>
        <v>0</v>
      </c>
      <c r="M253" s="321"/>
      <c r="N253" s="853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1" t="s">
        <v>16</v>
      </c>
      <c r="D254" s="847" t="s">
        <v>38</v>
      </c>
      <c r="E254" s="172"/>
      <c r="F254" s="172"/>
      <c r="G254" s="173"/>
      <c r="H254" s="761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7" t="s">
        <v>117</v>
      </c>
      <c r="E255" s="177"/>
      <c r="F255" s="177"/>
      <c r="G255" s="178"/>
      <c r="H255" s="763" t="s">
        <v>35</v>
      </c>
      <c r="I255" s="269">
        <f ca="1">IFERROR(__xludf.DUMMYFUNCTION("IMPORTRANGE(""https://docs.google.com/spreadsheets/d/1QqKyyYR6Q21VydFLVH3TRQUabQu_ym0Zz7PgGX0-kHA/edit?usp=sharing"",""แผน!BF81"")"),0)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52" t="s">
        <v>43</v>
      </c>
      <c r="E256" s="177"/>
      <c r="F256" s="177"/>
      <c r="G256" s="178"/>
      <c r="H256" s="763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63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63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46" t="s">
        <v>17</v>
      </c>
      <c r="E261" s="147"/>
      <c r="F261" s="147"/>
      <c r="G261" s="150"/>
      <c r="H261" s="151" t="s">
        <v>12</v>
      </c>
      <c r="I261" s="420"/>
      <c r="J261" s="420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6"/>
      <c r="J262" s="616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6"/>
      <c r="J263" s="616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26900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IFERROR(__xludf.DUMMYFUNCTION("IMPORTRANGE(""https://docs.google.com/spreadsheets/d/1MeEWN-I1oV_STSDYn1IFDPWt_1FKiwhDph83XaGc0o0/edit?usp=sharing"",""งบพรบ!CY81"")"),26900)</f>
        <v>26900</v>
      </c>
      <c r="M266" s="92">
        <f ca="1">IFERROR(__xludf.DUMMYFUNCTION("IMPORTRANGE(""https://docs.google.com/spreadsheets/d/1MeEWN-I1oV_STSDYn1IFDPWt_1FKiwhDph83XaGc0o0/edit?usp=sharing"",""งบพรบ!DD81"")"),26900)</f>
        <v>26900</v>
      </c>
      <c r="N266" s="92">
        <f ca="1">IFERROR(__xludf.DUMMYFUNCTION("IMPORTRANGE(""https://docs.google.com/spreadsheets/d/1MeEWN-I1oV_STSDYn1IFDPWt_1FKiwhDph83XaGc0o0/edit?usp=sharing"",""งบพรบ!DF81"")"),26900)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IFERROR(__xludf.DUMMYFUNCTION("IMPORTRANGE(""https://docs.google.com/spreadsheets/d/1MeEWN-I1oV_STSDYn1IFDPWt_1FKiwhDph83XaGc0o0/edit?usp=sharing"",""งบพรบ!DB81"")"),0)</f>
        <v>0</v>
      </c>
      <c r="M269" s="92">
        <f ca="1">IFERROR(__xludf.DUMMYFUNCTION("IMPORTRANGE(""https://docs.google.com/spreadsheets/d/1MeEWN-I1oV_STSDYn1IFDPWt_1FKiwhDph83XaGc0o0/edit?usp=sharing"",""งบพรบ!DE81"")"),0)</f>
        <v>0</v>
      </c>
      <c r="N269" s="92">
        <f ca="1">IFERROR(__xludf.DUMMYFUNCTION("IMPORTRANGE(""https://docs.google.com/spreadsheets/d/1MeEWN-I1oV_STSDYn1IFDPWt_1FKiwhDph83XaGc0o0/edit?usp=sharing"",""งบพรบ!DG81"")"),0)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47" t="s">
        <v>38</v>
      </c>
      <c r="E270" s="172"/>
      <c r="F270" s="172"/>
      <c r="G270" s="173"/>
      <c r="H270" s="761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IFERROR(__xludf.DUMMYFUNCTION("IMPORTRANGE(""https://docs.google.com/spreadsheets/d/1QqKyyYR6Q21VydFLVH3TRQUabQu_ym0Zz7PgGX0-kHA/edit?usp=sharing"",""แผน!EA81"")"),22)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5">
        <v>0</v>
      </c>
      <c r="J272" s="505">
        <v>0</v>
      </c>
      <c r="K272" s="384">
        <v>0</v>
      </c>
      <c r="L272" s="384"/>
      <c r="M272" s="384"/>
      <c r="N272" s="384"/>
      <c r="O272" s="384"/>
      <c r="P272" s="384"/>
    </row>
    <row r="273" spans="1:26" ht="19.5" hidden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9">
        <f ca="1">I287</f>
        <v>0</v>
      </c>
      <c r="J276" s="409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46" t="s">
        <v>17</v>
      </c>
      <c r="E277" s="147"/>
      <c r="F277" s="147"/>
      <c r="G277" s="150"/>
      <c r="H277" s="151" t="s">
        <v>12</v>
      </c>
      <c r="I277" s="420"/>
      <c r="J277" s="420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6"/>
      <c r="J278" s="616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6"/>
      <c r="J279" s="616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IFERROR(__xludf.DUMMYFUNCTION("IMPORTRANGE(""https://docs.google.com/spreadsheets/d/1MeEWN-I1oV_STSDYn1IFDPWt_1FKiwhDph83XaGc0o0/edit?usp=sharing"",""งบพรบ!DI81"")"),0)</f>
        <v>0</v>
      </c>
      <c r="M282" s="92">
        <f ca="1">IFERROR(__xludf.DUMMYFUNCTION("IMPORTRANGE(""https://docs.google.com/spreadsheets/d/1MeEWN-I1oV_STSDYn1IFDPWt_1FKiwhDph83XaGc0o0/edit?usp=sharing"",""งบพรบ!DN81"")"),0)</f>
        <v>0</v>
      </c>
      <c r="N282" s="92">
        <f ca="1">IFERROR(__xludf.DUMMYFUNCTION("IMPORTRANGE(""https://docs.google.com/spreadsheets/d/1MeEWN-I1oV_STSDYn1IFDPWt_1FKiwhDph83XaGc0o0/edit?usp=sharing"",""งบพรบ!DP81"")"),0)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IFERROR(__xludf.DUMMYFUNCTION("IMPORTRANGE(""https://docs.google.com/spreadsheets/d/1MeEWN-I1oV_STSDYn1IFDPWt_1FKiwhDph83XaGc0o0/edit?usp=sharing"",""งบพรบ!DL81"")"),0)</f>
        <v>0</v>
      </c>
      <c r="M285" s="92">
        <f ca="1">IFERROR(__xludf.DUMMYFUNCTION("IMPORTRANGE(""https://docs.google.com/spreadsheets/d/1MeEWN-I1oV_STSDYn1IFDPWt_1FKiwhDph83XaGc0o0/edit?usp=sharing"",""งบพรบ!DO81"")"),0)</f>
        <v>0</v>
      </c>
      <c r="N285" s="92">
        <f ca="1">IFERROR(__xludf.DUMMYFUNCTION("IMPORTRANGE(""https://docs.google.com/spreadsheets/d/1MeEWN-I1oV_STSDYn1IFDPWt_1FKiwhDph83XaGc0o0/edit?usp=sharing"",""งบพรบ!DQ81"")"),0)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47" t="s">
        <v>38</v>
      </c>
      <c r="E286" s="172"/>
      <c r="F286" s="172"/>
      <c r="G286" s="173"/>
      <c r="H286" s="761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5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IFERROR(__xludf.DUMMYFUNCTION("IMPORTRANGE(""https://docs.google.com/spreadsheets/d/1QqKyyYR6Q21VydFLVH3TRQUabQu_ym0Zz7PgGX0-kHA/edit?usp=sharing"",""แผน!EC81"")"),0)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5" t="s">
        <v>130</v>
      </c>
      <c r="E288" s="170"/>
      <c r="F288" s="177"/>
      <c r="G288" s="178"/>
      <c r="H288" s="179" t="s">
        <v>35</v>
      </c>
      <c r="I288" s="680">
        <f ca="1">IFERROR(__xludf.DUMMYFUNCTION("IMPORTRANGE(""https://docs.google.com/spreadsheets/d/1QqKyyYR6Q21VydFLVH3TRQUabQu_ym0Zz7PgGX0-kHA/edit?usp=sharing"",""แผน!EB81"")"),0)</f>
        <v>0</v>
      </c>
      <c r="J288" s="680">
        <f ca="1">IF(AND(J291&gt;=I288,J294&gt;=I288),J294,0)</f>
        <v>0</v>
      </c>
      <c r="K288" s="411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2"/>
      <c r="E289" s="413" t="s">
        <v>131</v>
      </c>
      <c r="F289" s="177"/>
      <c r="G289" s="178"/>
      <c r="H289" s="763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2"/>
      <c r="E290" s="625" t="s">
        <v>132</v>
      </c>
      <c r="F290" s="177"/>
      <c r="G290" s="178"/>
      <c r="H290" s="763" t="s">
        <v>35</v>
      </c>
      <c r="I290" s="183">
        <f ca="1">IFERROR(__xludf.DUMMYFUNCTION("IMPORTRANGE(""https://docs.google.com/spreadsheets/d/1QqKyyYR6Q21VydFLVH3TRQUabQu_ym0Zz7PgGX0-kHA/edit?usp=sharing"",""แผน!EB81"")"),0)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5" t="s">
        <v>336</v>
      </c>
      <c r="F291" s="177"/>
      <c r="G291" s="178"/>
      <c r="H291" s="763" t="s">
        <v>35</v>
      </c>
      <c r="I291" s="183">
        <f ca="1">IFERROR(__xludf.DUMMYFUNCTION("IMPORTRANGE(""https://docs.google.com/spreadsheets/d/1QqKyyYR6Q21VydFLVH3TRQUabQu_ym0Zz7PgGX0-kHA/edit?usp=sharing"",""แผน!EB81"")"),0)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4"/>
      <c r="B292" s="415"/>
      <c r="C292" s="415"/>
      <c r="D292" s="416"/>
      <c r="E292" s="417" t="s">
        <v>134</v>
      </c>
      <c r="F292" s="286"/>
      <c r="G292" s="287"/>
      <c r="H292" s="418"/>
      <c r="I292" s="419"/>
      <c r="J292" s="420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2"/>
      <c r="E293" s="625" t="s">
        <v>132</v>
      </c>
      <c r="F293" s="177"/>
      <c r="G293" s="178"/>
      <c r="H293" s="763" t="s">
        <v>35</v>
      </c>
      <c r="I293" s="183">
        <f ca="1">IFERROR(__xludf.DUMMYFUNCTION("IMPORTRANGE(""https://docs.google.com/spreadsheets/d/1QqKyyYR6Q21VydFLVH3TRQUabQu_ym0Zz7PgGX0-kHA/edit?usp=sharing"",""แผน!EB81"")"),0)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33" t="s">
        <v>336</v>
      </c>
      <c r="F294" s="380"/>
      <c r="G294" s="381"/>
      <c r="H294" s="422" t="s">
        <v>35</v>
      </c>
      <c r="I294" s="423">
        <f ca="1">IFERROR(__xludf.DUMMYFUNCTION("IMPORTRANGE(""https://docs.google.com/spreadsheets/d/1QqKyyYR6Q21VydFLVH3TRQUabQu_ym0Zz7PgGX0-kHA/edit?usp=sharing"",""แผน!EB81"")"),0)</f>
        <v>0</v>
      </c>
      <c r="J294" s="424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0</v>
      </c>
      <c r="J297" s="444">
        <f>J309</f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6"/>
      <c r="B298" s="147"/>
      <c r="C298" s="148" t="s">
        <v>16</v>
      </c>
      <c r="D298" s="846" t="s">
        <v>17</v>
      </c>
      <c r="E298" s="147"/>
      <c r="F298" s="147"/>
      <c r="G298" s="150"/>
      <c r="H298" s="151" t="s">
        <v>12</v>
      </c>
      <c r="I298" s="420"/>
      <c r="J298" s="420"/>
      <c r="K298" s="153"/>
      <c r="L298" s="154">
        <f ca="1">L299+L300</f>
        <v>0</v>
      </c>
      <c r="M298" s="154">
        <f ca="1">M299+M300</f>
        <v>0</v>
      </c>
      <c r="N298" s="154">
        <f ca="1">N299+N300</f>
        <v>0</v>
      </c>
      <c r="O298" s="154">
        <f t="shared" ref="O298:O306" ca="1" si="50">IF(L298&gt;0,N298*100/L298,0)</f>
        <v>0</v>
      </c>
      <c r="P298" s="154">
        <f t="shared" ref="P298:P306" ca="1" si="51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6"/>
      <c r="J299" s="616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6"/>
      <c r="J300" s="616"/>
      <c r="K300" s="92"/>
      <c r="L300" s="92">
        <f t="shared" ca="1" si="52"/>
        <v>0</v>
      </c>
      <c r="M300" s="92">
        <f t="shared" ca="1" si="52"/>
        <v>0</v>
      </c>
      <c r="N300" s="92">
        <f t="shared" ca="1" si="52"/>
        <v>0</v>
      </c>
      <c r="O300" s="92">
        <f t="shared" ca="1" si="50"/>
        <v>0</v>
      </c>
      <c r="P300" s="92">
        <f t="shared" ca="1" si="51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0</v>
      </c>
      <c r="M301" s="497">
        <f ca="1">M302+M303</f>
        <v>0</v>
      </c>
      <c r="N301" s="497">
        <f ca="1">N302+N303</f>
        <v>0</v>
      </c>
      <c r="O301" s="497">
        <f t="shared" ca="1" si="50"/>
        <v>0</v>
      </c>
      <c r="P301" s="497">
        <f t="shared" ca="1" si="51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IFERROR(__xludf.DUMMYFUNCTION("IMPORTRANGE(""https://docs.google.com/spreadsheets/d/1MeEWN-I1oV_STSDYn1IFDPWt_1FKiwhDph83XaGc0o0/edit?usp=sharing"",""งบพรบ!DS81"")"),0)</f>
        <v>0</v>
      </c>
      <c r="M303" s="92">
        <f ca="1">IFERROR(__xludf.DUMMYFUNCTION("IMPORTRANGE(""https://docs.google.com/spreadsheets/d/1MeEWN-I1oV_STSDYn1IFDPWt_1FKiwhDph83XaGc0o0/edit?usp=sharing"",""งบพรบ!DX81"")"),0)</f>
        <v>0</v>
      </c>
      <c r="N303" s="92">
        <f ca="1">IFERROR(__xludf.DUMMYFUNCTION("IMPORTRANGE(""https://docs.google.com/spreadsheets/d/1MeEWN-I1oV_STSDYn1IFDPWt_1FKiwhDph83XaGc0o0/edit?usp=sharing"",""งบพรบ!DZ81"")"),0)</f>
        <v>0</v>
      </c>
      <c r="O303" s="92">
        <f t="shared" ca="1" si="50"/>
        <v>0</v>
      </c>
      <c r="P303" s="92">
        <f t="shared" ca="1" si="51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IFERROR(__xludf.DUMMYFUNCTION("IMPORTRANGE(""https://docs.google.com/spreadsheets/d/1MeEWN-I1oV_STSDYn1IFDPWt_1FKiwhDph83XaGc0o0/edit?usp=sharing"",""งบพรบ!DV81"")"),0)</f>
        <v>0</v>
      </c>
      <c r="M306" s="92">
        <f ca="1">IFERROR(__xludf.DUMMYFUNCTION("IMPORTRANGE(""https://docs.google.com/spreadsheets/d/1MeEWN-I1oV_STSDYn1IFDPWt_1FKiwhDph83XaGc0o0/edit?usp=sharing"",""งบพรบ!DY81"")"),0)</f>
        <v>0</v>
      </c>
      <c r="N306" s="92">
        <f ca="1">IFERROR(__xludf.DUMMYFUNCTION("IMPORTRANGE(""https://docs.google.com/spreadsheets/d/1MeEWN-I1oV_STSDYn1IFDPWt_1FKiwhDph83XaGc0o0/edit?usp=sharing"",""งบพรบ!EA81"")"),0)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47" t="s">
        <v>38</v>
      </c>
      <c r="E307" s="172"/>
      <c r="F307" s="172"/>
      <c r="G307" s="173"/>
      <c r="H307" s="761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69"/>
      <c r="B308" s="170"/>
      <c r="C308" s="170"/>
      <c r="D308" s="447" t="s">
        <v>140</v>
      </c>
      <c r="E308" s="447"/>
      <c r="F308" s="447"/>
      <c r="G308" s="178"/>
      <c r="H308" s="763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69"/>
      <c r="B309" s="170"/>
      <c r="C309" s="170"/>
      <c r="D309" s="447" t="s">
        <v>141</v>
      </c>
      <c r="E309" s="447"/>
      <c r="F309" s="447"/>
      <c r="G309" s="178"/>
      <c r="H309" s="763" t="s">
        <v>35</v>
      </c>
      <c r="I309" s="269">
        <f ca="1">IFERROR(__xludf.DUMMYFUNCTION("IMPORTRANGE(""https://docs.google.com/spreadsheets/d/1QqKyyYR6Q21VydFLVH3TRQUabQu_ym0Zz7PgGX0-kHA/edit?usp=sharing"",""แผน!ED81"")"),0)</f>
        <v>0</v>
      </c>
      <c r="J309" s="214">
        <v>0</v>
      </c>
      <c r="K309" s="497">
        <f ca="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69"/>
      <c r="B310" s="170"/>
      <c r="C310" s="170"/>
      <c r="D310" s="447" t="s">
        <v>142</v>
      </c>
      <c r="E310" s="447"/>
      <c r="F310" s="447"/>
      <c r="G310" s="178"/>
      <c r="H310" s="763" t="s">
        <v>35</v>
      </c>
      <c r="I310" s="269">
        <f ca="1">IFERROR(__xludf.DUMMYFUNCTION("IMPORTRANGE(""https://docs.google.com/spreadsheets/d/1QqKyyYR6Q21VydFLVH3TRQUabQu_ym0Zz7PgGX0-kHA/edit?usp=sharing"",""แผน!ED81"")"),0)</f>
        <v>0</v>
      </c>
      <c r="J310" s="214">
        <v>0</v>
      </c>
      <c r="K310" s="497">
        <f ca="1">IF(I310&gt;0,J310*100/I310,0)</f>
        <v>0</v>
      </c>
      <c r="L310" s="497"/>
      <c r="M310" s="497"/>
      <c r="N310" s="497"/>
      <c r="O310" s="497"/>
      <c r="P310" s="497"/>
    </row>
    <row r="311" spans="1:26" ht="18.75" hidden="1">
      <c r="A311" s="169"/>
      <c r="B311" s="170"/>
      <c r="C311" s="170"/>
      <c r="D311" s="447" t="s">
        <v>59</v>
      </c>
      <c r="E311" s="447"/>
      <c r="F311" s="447"/>
      <c r="G311" s="178"/>
      <c r="H311" s="763" t="s">
        <v>35</v>
      </c>
      <c r="I311" s="269">
        <f ca="1">IFERROR(__xludf.DUMMYFUNCTION("IMPORTRANGE(""https://docs.google.com/spreadsheets/d/1QqKyyYR6Q21VydFLVH3TRQUabQu_ym0Zz7PgGX0-kHA/edit?usp=sharing"",""แผน!ED81"")"),0)</f>
        <v>0</v>
      </c>
      <c r="J311" s="214">
        <v>0</v>
      </c>
      <c r="K311" s="497">
        <f ca="1">IF(I311&gt;0,J311*100/I311,0)</f>
        <v>0</v>
      </c>
      <c r="L311" s="497"/>
      <c r="M311" s="497"/>
      <c r="N311" s="497"/>
      <c r="O311" s="497"/>
      <c r="P311" s="497"/>
    </row>
    <row r="312" spans="1:26" ht="18.75" hidden="1">
      <c r="A312" s="169"/>
      <c r="B312" s="170"/>
      <c r="C312" s="170"/>
      <c r="D312" s="447" t="s">
        <v>143</v>
      </c>
      <c r="E312" s="447"/>
      <c r="F312" s="447"/>
      <c r="G312" s="178"/>
      <c r="H312" s="763" t="s">
        <v>35</v>
      </c>
      <c r="I312" s="269">
        <f ca="1">IFERROR(__xludf.DUMMYFUNCTION("IMPORTRANGE(""https://docs.google.com/spreadsheets/d/1QqKyyYR6Q21VydFLVH3TRQUabQu_ym0Zz7PgGX0-kHA/edit?usp=sharing"",""แผน!EE81"")"),0)</f>
        <v>0</v>
      </c>
      <c r="J312" s="214">
        <v>0</v>
      </c>
      <c r="K312" s="497">
        <f ca="1">IF(I312&gt;0,J312*100/I312,0)</f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0</v>
      </c>
      <c r="J314" s="444">
        <f>J325</f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6"/>
      <c r="B315" s="147"/>
      <c r="C315" s="148" t="s">
        <v>16</v>
      </c>
      <c r="D315" s="846" t="s">
        <v>17</v>
      </c>
      <c r="E315" s="147"/>
      <c r="F315" s="147"/>
      <c r="G315" s="150"/>
      <c r="H315" s="151" t="s">
        <v>12</v>
      </c>
      <c r="I315" s="420"/>
      <c r="J315" s="420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6"/>
      <c r="J316" s="616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6"/>
      <c r="J317" s="616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IFERROR(__xludf.DUMMYFUNCTION("IMPORTRANGE(""https://docs.google.com/spreadsheets/d/1MeEWN-I1oV_STSDYn1IFDPWt_1FKiwhDph83XaGc0o0/edit?usp=sharing"",""งบพรบ!EC81"")"),0)</f>
        <v>0</v>
      </c>
      <c r="M320" s="92">
        <f ca="1">IFERROR(__xludf.DUMMYFUNCTION("IMPORTRANGE(""https://docs.google.com/spreadsheets/d/1MeEWN-I1oV_STSDYn1IFDPWt_1FKiwhDph83XaGc0o0/edit?usp=sharing"",""งบพรบ!EH81"")"),0)</f>
        <v>0</v>
      </c>
      <c r="N320" s="92">
        <f ca="1">IFERROR(__xludf.DUMMYFUNCTION("IMPORTRANGE(""https://docs.google.com/spreadsheets/d/1MeEWN-I1oV_STSDYn1IFDPWt_1FKiwhDph83XaGc0o0/edit?usp=sharing"",""งบพรบ!EJ81"")"),0)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IFERROR(__xludf.DUMMYFUNCTION("IMPORTRANGE(""https://docs.google.com/spreadsheets/d/1MeEWN-I1oV_STSDYn1IFDPWt_1FKiwhDph83XaGc0o0/edit?usp=sharing"",""งบพรบ!EF81"")"),0)</f>
        <v>0</v>
      </c>
      <c r="M323" s="92">
        <f ca="1">IFERROR(__xludf.DUMMYFUNCTION("IMPORTRANGE(""https://docs.google.com/spreadsheets/d/1MeEWN-I1oV_STSDYn1IFDPWt_1FKiwhDph83XaGc0o0/edit?usp=sharing"",""งบพรบ!EI81"")"),0)</f>
        <v>0</v>
      </c>
      <c r="N323" s="92">
        <f ca="1">IFERROR(__xludf.DUMMYFUNCTION("IMPORTRANGE(""https://docs.google.com/spreadsheets/d/1MeEWN-I1oV_STSDYn1IFDPWt_1FKiwhDph83XaGc0o0/edit?usp=sharing"",""งบพรบ!EK81"")"),0)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47" t="s">
        <v>38</v>
      </c>
      <c r="E324" s="172"/>
      <c r="F324" s="172"/>
      <c r="G324" s="173"/>
      <c r="H324" s="761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7"/>
      <c r="G325" s="178"/>
      <c r="H325" s="622" t="s">
        <v>146</v>
      </c>
      <c r="I325" s="269">
        <f ca="1">IFERROR(__xludf.DUMMYFUNCTION("IMPORTRANGE(""https://docs.google.com/spreadsheets/d/1QqKyyYR6Q21VydFLVH3TRQUabQu_ym0Zz7PgGX0-kHA/edit?usp=sharing"",""แผน!EF81"")"),0)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IFERROR(__xludf.DUMMYFUNCTION("IMPORTRANGE(""https://docs.google.com/spreadsheets/d/1QqKyyYR6Q21VydFLVH3TRQUabQu_ym0Zz7PgGX0-kHA/edit?usp=sharing"",""แผน!EG81"")"),800)</f>
        <v>800</v>
      </c>
      <c r="J327" s="444">
        <f ca="1">J338+J341+J342+J343</f>
        <v>1531</v>
      </c>
      <c r="K327" s="445">
        <f ca="1">IF(I327&gt;0,J327*100/I327,0)</f>
        <v>191.375</v>
      </c>
      <c r="L327" s="446"/>
      <c r="M327" s="446"/>
      <c r="N327" s="446"/>
      <c r="O327" s="446"/>
      <c r="P327" s="446"/>
    </row>
    <row r="328" spans="1:26" ht="19.5">
      <c r="A328" s="146"/>
      <c r="B328" s="147"/>
      <c r="C328" s="148" t="s">
        <v>16</v>
      </c>
      <c r="D328" s="846" t="s">
        <v>17</v>
      </c>
      <c r="E328" s="147"/>
      <c r="F328" s="147"/>
      <c r="G328" s="150"/>
      <c r="H328" s="151" t="s">
        <v>12</v>
      </c>
      <c r="I328" s="420"/>
      <c r="J328" s="420"/>
      <c r="K328" s="153"/>
      <c r="L328" s="154">
        <f ca="1">L329+L330</f>
        <v>163000</v>
      </c>
      <c r="M328" s="154">
        <f ca="1">M329+M330</f>
        <v>165500</v>
      </c>
      <c r="N328" s="154">
        <f ca="1">N329+N330</f>
        <v>165500</v>
      </c>
      <c r="O328" s="154">
        <f t="shared" ref="O328:O336" ca="1" si="56">IF(L328&gt;0,N328*100/L328,0)</f>
        <v>101.53374233128834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6"/>
      <c r="J329" s="616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6"/>
      <c r="J330" s="616"/>
      <c r="K330" s="92"/>
      <c r="L330" s="92">
        <f t="shared" ca="1" si="58"/>
        <v>163000</v>
      </c>
      <c r="M330" s="92">
        <f t="shared" ca="1" si="58"/>
        <v>165500</v>
      </c>
      <c r="N330" s="92">
        <f t="shared" ca="1" si="58"/>
        <v>165500</v>
      </c>
      <c r="O330" s="92">
        <f t="shared" ca="1" si="56"/>
        <v>101.53374233128834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163000</v>
      </c>
      <c r="M331" s="497">
        <f ca="1">M332+M333</f>
        <v>165500</v>
      </c>
      <c r="N331" s="497">
        <f ca="1">N332+N333</f>
        <v>165500</v>
      </c>
      <c r="O331" s="497">
        <f t="shared" ca="1" si="56"/>
        <v>101.53374233128834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IFERROR(__xludf.DUMMYFUNCTION("IMPORTRANGE(""https://docs.google.com/spreadsheets/d/1MeEWN-I1oV_STSDYn1IFDPWt_1FKiwhDph83XaGc0o0/edit?usp=sharing"",""งบพรบ!EM81"")"),163000)</f>
        <v>163000</v>
      </c>
      <c r="M333" s="92">
        <f ca="1">IFERROR(__xludf.DUMMYFUNCTION("IMPORTRANGE(""https://docs.google.com/spreadsheets/d/1MeEWN-I1oV_STSDYn1IFDPWt_1FKiwhDph83XaGc0o0/edit?usp=sharing"",""งบพรบ!ER81"")"),165500)</f>
        <v>165500</v>
      </c>
      <c r="N333" s="92">
        <f ca="1">IFERROR(__xludf.DUMMYFUNCTION("IMPORTRANGE(""https://docs.google.com/spreadsheets/d/1MeEWN-I1oV_STSDYn1IFDPWt_1FKiwhDph83XaGc0o0/edit?usp=sharing"",""งบพรบ!ET81"")"),165500)</f>
        <v>165500</v>
      </c>
      <c r="O333" s="92">
        <f t="shared" ca="1" si="56"/>
        <v>101.53374233128834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IFERROR(__xludf.DUMMYFUNCTION("IMPORTRANGE(""https://docs.google.com/spreadsheets/d/1MeEWN-I1oV_STSDYn1IFDPWt_1FKiwhDph83XaGc0o0/edit?usp=sharing"",""งบพรบ!EP81"")"),0)</f>
        <v>0</v>
      </c>
      <c r="M336" s="92">
        <f ca="1">IFERROR(__xludf.DUMMYFUNCTION("IMPORTRANGE(""https://docs.google.com/spreadsheets/d/1MeEWN-I1oV_STSDYn1IFDPWt_1FKiwhDph83XaGc0o0/edit?usp=sharing"",""งบพรบ!ES81"")"),0)</f>
        <v>0</v>
      </c>
      <c r="N336" s="92">
        <f ca="1">IFERROR(__xludf.DUMMYFUNCTION("IMPORTRANGE(""https://docs.google.com/spreadsheets/d/1MeEWN-I1oV_STSDYn1IFDPWt_1FKiwhDph83XaGc0o0/edit?usp=sharing"",""งบพรบ!EU81"")"),0)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4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61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3"/>
      <c r="B338" s="32"/>
      <c r="C338" s="280"/>
      <c r="D338" s="447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IFERROR(__xludf.DUMMYFUNCTION("IMPORTRANGE(""https://docs.google.com/spreadsheets/d/1QqKyyYR6Q21VydFLVH3TRQUabQu_ym0Zz7PgGX0-kHA/edit?usp=sharing"",""แผน!EG81"")"),800)</f>
        <v>800</v>
      </c>
      <c r="J338" s="269">
        <f ca="1">IFERROR(__xludf.DUMMYFUNCTION("IMPORTRANGE(""https://docs.google.com/spreadsheets/d/1kVcqe37tkHyjCSG3S0O1AXqVkqjo8mSIZil3BcpIysc/edit?usp=sharing"",""ศูนย์!D81"")"),1441)</f>
        <v>1441</v>
      </c>
      <c r="K338" s="497">
        <f ca="1">IF(I338&gt;0,J338*100/I338,0)</f>
        <v>180.125</v>
      </c>
      <c r="L338" s="497"/>
      <c r="M338" s="497"/>
      <c r="N338" s="497"/>
      <c r="O338" s="497"/>
      <c r="P338" s="497"/>
    </row>
    <row r="339" spans="1:26" ht="18.75">
      <c r="A339" s="283"/>
      <c r="B339" s="32"/>
      <c r="C339" s="280"/>
      <c r="D339" s="447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3"/>
      <c r="B340" s="32"/>
      <c r="C340" s="280"/>
      <c r="D340" s="177"/>
      <c r="E340" s="447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IFERROR(__xludf.DUMMYFUNCTION("IMPORTRANGE(""https://docs.google.com/spreadsheets/d/1QqKyyYR6Q21VydFLVH3TRQUabQu_ym0Zz7PgGX0-kHA/edit?usp=sharing"",""แผน!EH81"")"),5)</f>
        <v>5</v>
      </c>
      <c r="J340" s="269">
        <v>5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3"/>
      <c r="B341" s="32"/>
      <c r="C341" s="280"/>
      <c r="D341" s="177"/>
      <c r="E341" s="447" t="s">
        <v>154</v>
      </c>
      <c r="F341" s="32"/>
      <c r="G341" s="34"/>
      <c r="H341" s="276" t="s">
        <v>35</v>
      </c>
      <c r="I341" s="269"/>
      <c r="J341" s="269">
        <v>90</v>
      </c>
      <c r="K341" s="497"/>
      <c r="L341" s="497"/>
      <c r="M341" s="497"/>
      <c r="N341" s="497"/>
      <c r="O341" s="497"/>
      <c r="P341" s="497"/>
    </row>
    <row r="342" spans="1:26" ht="18.75">
      <c r="A342" s="283"/>
      <c r="B342" s="32"/>
      <c r="C342" s="280"/>
      <c r="D342" s="447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IFERROR(__xludf.DUMMYFUNCTION("IMPORTRANGE(""https://docs.google.com/spreadsheets/d/1kVcqe37tkHyjCSG3S0O1AXqVkqjo8mSIZil3BcpIysc/edit?usp=sharing"",""ศูนย์!G81"")"),0)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3"/>
      <c r="B343" s="32"/>
      <c r="C343" s="280"/>
      <c r="D343" s="447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IFERROR(__xludf.DUMMYFUNCTION("IMPORTRANGE(""https://docs.google.com/spreadsheets/d/1kVcqe37tkHyjCSG3S0O1AXqVkqjo8mSIZil3BcpIysc/edit?usp=sharing"",""ศูนย์!H81"")"),0)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6"/>
      <c r="B345" s="147"/>
      <c r="C345" s="148" t="s">
        <v>16</v>
      </c>
      <c r="D345" s="846" t="s">
        <v>17</v>
      </c>
      <c r="E345" s="147"/>
      <c r="F345" s="147"/>
      <c r="G345" s="150"/>
      <c r="H345" s="151" t="s">
        <v>12</v>
      </c>
      <c r="I345" s="420"/>
      <c r="J345" s="420"/>
      <c r="K345" s="153"/>
      <c r="L345" s="154">
        <f ca="1">L346+L347</f>
        <v>661560</v>
      </c>
      <c r="M345" s="154">
        <f ca="1">M346+M347</f>
        <v>711360</v>
      </c>
      <c r="N345" s="154">
        <f ca="1">N346+N347</f>
        <v>711360</v>
      </c>
      <c r="O345" s="154">
        <f t="shared" ref="O345:O353" ca="1" si="59">IF(L345&gt;0,N345*100/L345,0)</f>
        <v>107.52766189007799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6"/>
      <c r="J346" s="616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6"/>
      <c r="J347" s="616"/>
      <c r="K347" s="92"/>
      <c r="L347" s="92">
        <f t="shared" ca="1" si="61"/>
        <v>661560</v>
      </c>
      <c r="M347" s="92">
        <f t="shared" ca="1" si="61"/>
        <v>711360</v>
      </c>
      <c r="N347" s="92">
        <f t="shared" ca="1" si="61"/>
        <v>711360</v>
      </c>
      <c r="O347" s="92">
        <f t="shared" ca="1" si="59"/>
        <v>107.52766189007799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585560</v>
      </c>
      <c r="M348" s="497">
        <f ca="1">M349+M350</f>
        <v>635560</v>
      </c>
      <c r="N348" s="497">
        <f ca="1">N349+N350</f>
        <v>635560</v>
      </c>
      <c r="O348" s="497">
        <f t="shared" ca="1" si="59"/>
        <v>108.53883461985109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IFERROR(__xludf.DUMMYFUNCTION("IMPORTRANGE(""https://docs.google.com/spreadsheets/d/1MeEWN-I1oV_STSDYn1IFDPWt_1FKiwhDph83XaGc0o0/edit?usp=sharing"",""งบพรบ!EW81"")"),585560)</f>
        <v>585560</v>
      </c>
      <c r="M350" s="92">
        <f ca="1">IFERROR(__xludf.DUMMYFUNCTION("IMPORTRANGE(""https://docs.google.com/spreadsheets/d/1MeEWN-I1oV_STSDYn1IFDPWt_1FKiwhDph83XaGc0o0/edit?usp=sharing"",""งบพรบ!FB81"")"),635560)</f>
        <v>635560</v>
      </c>
      <c r="N350" s="92">
        <f ca="1">IFERROR(__xludf.DUMMYFUNCTION("IMPORTRANGE(""https://docs.google.com/spreadsheets/d/1MeEWN-I1oV_STSDYn1IFDPWt_1FKiwhDph83XaGc0o0/edit?usp=sharing"",""งบพรบ!FD81"")"),635560)</f>
        <v>635560</v>
      </c>
      <c r="O350" s="92">
        <f t="shared" ca="1" si="59"/>
        <v>108.53883461985109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76000</v>
      </c>
      <c r="M351" s="497">
        <f ca="1">M352+M353</f>
        <v>75800</v>
      </c>
      <c r="N351" s="497">
        <f ca="1">N352+N353</f>
        <v>75800</v>
      </c>
      <c r="O351" s="497">
        <f t="shared" ca="1" si="59"/>
        <v>99.736842105263165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IFERROR(__xludf.DUMMYFUNCTION("IMPORTRANGE(""https://docs.google.com/spreadsheets/d/1MeEWN-I1oV_STSDYn1IFDPWt_1FKiwhDph83XaGc0o0/edit?usp=sharing"",""งบพรบ!EZ81"")"),76000)</f>
        <v>76000</v>
      </c>
      <c r="M353" s="92">
        <f ca="1">IFERROR(__xludf.DUMMYFUNCTION("IMPORTRANGE(""https://docs.google.com/spreadsheets/d/1MeEWN-I1oV_STSDYn1IFDPWt_1FKiwhDph83XaGc0o0/edit?usp=sharing"",""งบพรบ!FC81"")"),75800)</f>
        <v>75800</v>
      </c>
      <c r="N353" s="92">
        <f ca="1">IFERROR(__xludf.DUMMYFUNCTION("IMPORTRANGE(""https://docs.google.com/spreadsheets/d/1MeEWN-I1oV_STSDYn1IFDPWt_1FKiwhDph83XaGc0o0/edit?usp=sharing"",""งบพรบ!FE81"")"),75800)</f>
        <v>75800</v>
      </c>
      <c r="O353" s="92">
        <f t="shared" ca="1" si="59"/>
        <v>99.736842105263165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1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IFERROR(__xludf.DUMMYFUNCTION("IMPORTRANGE(""https://docs.google.com/spreadsheets/d/1QqKyyYR6Q21VydFLVH3TRQUabQu_ym0Zz7PgGX0-kHA/edit?usp=sharing"",""แผน!EP81"")"),80)</f>
        <v>80</v>
      </c>
      <c r="J355" s="464">
        <f ca="1">J362</f>
        <v>51</v>
      </c>
      <c r="K355" s="465">
        <f ca="1">IF(I355&gt;0,J355*100/I355,0)</f>
        <v>63.75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47" t="s">
        <v>38</v>
      </c>
      <c r="E357" s="172"/>
      <c r="F357" s="172"/>
      <c r="G357" s="173"/>
      <c r="H357" s="761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IFERROR(__xludf.DUMMYFUNCTION("IMPORTRANGE(""https://docs.google.com/spreadsheets/d/1XWAQStnk-4SwqDmLtmXYiTMKHgktTP8We1SCoS47DrQ/edit?usp=sharing"",""จัดที่ดิน!W81"")"),52)</f>
        <v>52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IFERROR(__xludf.DUMMYFUNCTION("IMPORTRANGE(""https://docs.google.com/spreadsheets/d/1QqKyyYR6Q21VydFLVH3TRQUabQu_ym0Zz7PgGX0-kHA/edit?usp=sharing"",""แผน!EO81"")"),650)</f>
        <v>650</v>
      </c>
      <c r="J359" s="269">
        <f ca="1">IFERROR(__xludf.DUMMYFUNCTION("IMPORTRANGE(""https://docs.google.com/spreadsheets/d/1XWAQStnk-4SwqDmLtmXYiTMKHgktTP8We1SCoS47DrQ/edit?usp=sharing"",""จัดที่ดิน!X81"")"),468.33)</f>
        <v>468.33</v>
      </c>
      <c r="K359" s="497">
        <f t="shared" ca="1" si="62"/>
        <v>72.050769230769234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63" t="s">
        <v>35</v>
      </c>
      <c r="I360" s="269">
        <f ca="1">IFERROR(__xludf.DUMMYFUNCTION("IMPORTRANGE(""https://docs.google.com/spreadsheets/d/1QqKyyYR6Q21VydFLVH3TRQUabQu_ym0Zz7PgGX0-kHA/edit?usp=sharing"",""แผน!EP81"")"),80)</f>
        <v>80</v>
      </c>
      <c r="J360" s="269">
        <f ca="1">IFERROR(__xludf.DUMMYFUNCTION("IMPORTRANGE(""https://docs.google.com/spreadsheets/d/1XWAQStnk-4SwqDmLtmXYiTMKHgktTP8We1SCoS47DrQ/edit?usp=sharing"",""จัดที่ดิน!Y81"")"),52)</f>
        <v>52</v>
      </c>
      <c r="K360" s="497">
        <f t="shared" ca="1" si="62"/>
        <v>65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63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IFERROR(__xludf.DUMMYFUNCTION("IMPORTRANGE(""https://docs.google.com/spreadsheets/d/1XWAQStnk-4SwqDmLtmXYiTMKHgktTP8We1SCoS47DrQ/edit?usp=sharing"",""จัดที่ดิน!Z81"")"),468.33)</f>
        <v>468.33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63" t="s">
        <v>35</v>
      </c>
      <c r="I362" s="269">
        <f ca="1">IFERROR(__xludf.DUMMYFUNCTION("IMPORTRANGE(""https://docs.google.com/spreadsheets/d/1QqKyyYR6Q21VydFLVH3TRQUabQu_ym0Zz7PgGX0-kHA/edit?usp=sharing"",""แผน!EP81"")"),80)</f>
        <v>80</v>
      </c>
      <c r="J362" s="269">
        <f ca="1">IFERROR(__xludf.DUMMYFUNCTION("IMPORTRANGE(""https://docs.google.com/spreadsheets/d/1XWAQStnk-4SwqDmLtmXYiTMKHgktTP8We1SCoS47DrQ/edit?usp=sharing"",""จัดที่ดิน!AA81"")"),51)</f>
        <v>51</v>
      </c>
      <c r="K362" s="497">
        <f t="shared" ca="1" si="62"/>
        <v>63.75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7"/>
      <c r="F363" s="177"/>
      <c r="G363" s="178"/>
      <c r="H363" s="763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IFERROR(__xludf.DUMMYFUNCTION("IMPORTRANGE(""https://docs.google.com/spreadsheets/d/1XWAQStnk-4SwqDmLtmXYiTMKHgktTP8We1SCoS47DrQ/edit?usp=sharing"",""จัดที่ดิน!AB81"")"),458.89)</f>
        <v>458.89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130</v>
      </c>
      <c r="J364" s="478">
        <f ca="1">J365+J374</f>
        <v>132</v>
      </c>
      <c r="K364" s="479">
        <f t="shared" ca="1" si="62"/>
        <v>101.53846153846153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IFERROR(__xludf.DUMMYFUNCTION("IMPORTRANGE(""https://docs.google.com/spreadsheets/d/1QqKyyYR6Q21VydFLVH3TRQUabQu_ym0Zz7PgGX0-kHA/edit?usp=sharing"",""แผน!EJ81"")"),30)</f>
        <v>30</v>
      </c>
      <c r="J365" s="490">
        <f ca="1">J372</f>
        <v>8</v>
      </c>
      <c r="K365" s="491">
        <f t="shared" ca="1" si="62"/>
        <v>26.666666666666668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47" t="s">
        <v>38</v>
      </c>
      <c r="E367" s="172"/>
      <c r="F367" s="172"/>
      <c r="G367" s="173"/>
      <c r="H367" s="761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IFERROR(__xludf.DUMMYFUNCTION("IMPORTRANGE(""https://docs.google.com/spreadsheets/d/1XWAQStnk-4SwqDmLtmXYiTMKHgktTP8We1SCoS47DrQ/edit?usp=sharing"",""จัดที่ดิน!E81"")"),9)</f>
        <v>9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IFERROR(__xludf.DUMMYFUNCTION("IMPORTRANGE(""https://docs.google.com/spreadsheets/d/1QqKyyYR6Q21VydFLVH3TRQUabQu_ym0Zz7PgGX0-kHA/edit?usp=sharing"",""แผน!EI81"")"),200)</f>
        <v>200</v>
      </c>
      <c r="J369" s="269">
        <f ca="1">IFERROR(__xludf.DUMMYFUNCTION("IMPORTRANGE(""https://docs.google.com/spreadsheets/d/1XWAQStnk-4SwqDmLtmXYiTMKHgktTP8We1SCoS47DrQ/edit?usp=sharing"",""จัดที่ดิน!F81"")"),62.88)</f>
        <v>62.88</v>
      </c>
      <c r="K369" s="497">
        <f t="shared" ca="1" si="63"/>
        <v>31.44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63" t="s">
        <v>35</v>
      </c>
      <c r="I370" s="269">
        <f ca="1">IFERROR(__xludf.DUMMYFUNCTION("IMPORTRANGE(""https://docs.google.com/spreadsheets/d/1QqKyyYR6Q21VydFLVH3TRQUabQu_ym0Zz7PgGX0-kHA/edit?usp=sharing"",""แผน!EJ81"")"),30)</f>
        <v>30</v>
      </c>
      <c r="J370" s="269">
        <f ca="1">IFERROR(__xludf.DUMMYFUNCTION("IMPORTRANGE(""https://docs.google.com/spreadsheets/d/1XWAQStnk-4SwqDmLtmXYiTMKHgktTP8We1SCoS47DrQ/edit?usp=sharing"",""จัดที่ดิน!G81"")"),9)</f>
        <v>9</v>
      </c>
      <c r="K370" s="497">
        <f t="shared" ca="1" si="63"/>
        <v>30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63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IFERROR(__xludf.DUMMYFUNCTION("IMPORTRANGE(""https://docs.google.com/spreadsheets/d/1XWAQStnk-4SwqDmLtmXYiTMKHgktTP8We1SCoS47DrQ/edit?usp=sharing"",""จัดที่ดิน!H81"")"),62.88)</f>
        <v>62.88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63" t="s">
        <v>35</v>
      </c>
      <c r="I372" s="269">
        <f ca="1">IFERROR(__xludf.DUMMYFUNCTION("IMPORTRANGE(""https://docs.google.com/spreadsheets/d/1QqKyyYR6Q21VydFLVH3TRQUabQu_ym0Zz7PgGX0-kHA/edit?usp=sharing"",""แผน!EJ81"")"),30)</f>
        <v>30</v>
      </c>
      <c r="J372" s="269">
        <f ca="1">IFERROR(__xludf.DUMMYFUNCTION("IMPORTRANGE(""https://docs.google.com/spreadsheets/d/1XWAQStnk-4SwqDmLtmXYiTMKHgktTP8We1SCoS47DrQ/edit?usp=sharing"",""จัดที่ดิน!I81"")"),8)</f>
        <v>8</v>
      </c>
      <c r="K372" s="497">
        <f t="shared" ca="1" si="63"/>
        <v>26.666666666666668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7"/>
      <c r="C373" s="170"/>
      <c r="D373" s="177"/>
      <c r="E373" s="447"/>
      <c r="F373" s="177"/>
      <c r="G373" s="178"/>
      <c r="H373" s="763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IFERROR(__xludf.DUMMYFUNCTION("IMPORTRANGE(""https://docs.google.com/spreadsheets/d/1XWAQStnk-4SwqDmLtmXYiTMKHgktTP8We1SCoS47DrQ/edit?usp=sharing"",""จัดที่ดิน!J81"")"),53.44)</f>
        <v>53.44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IFERROR(__xludf.DUMMYFUNCTION("IMPORTRANGE(""https://docs.google.com/spreadsheets/d/1QqKyyYR6Q21VydFLVH3TRQUabQu_ym0Zz7PgGX0-kHA/edit?usp=sharing"",""แผน!EU81"")"),100)</f>
        <v>100</v>
      </c>
      <c r="J374" s="490">
        <f ca="1">J381</f>
        <v>124</v>
      </c>
      <c r="K374" s="491">
        <f t="shared" ca="1" si="63"/>
        <v>124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47" t="s">
        <v>38</v>
      </c>
      <c r="E376" s="172"/>
      <c r="F376" s="172"/>
      <c r="G376" s="173"/>
      <c r="H376" s="761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IFERROR(__xludf.DUMMYFUNCTION("IMPORTRANGE(""https://docs.google.com/spreadsheets/d/1XWAQStnk-4SwqDmLtmXYiTMKHgktTP8We1SCoS47DrQ/edit?usp=sharing"",""จัดที่ดิน!AH81"")"),43)</f>
        <v>43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IFERROR(__xludf.DUMMYFUNCTION("IMPORTRANGE(""https://docs.google.com/spreadsheets/d/1QqKyyYR6Q21VydFLVH3TRQUabQu_ym0Zz7PgGX0-kHA/edit?usp=sharing"",""แผน!ET81"")"),450)</f>
        <v>450</v>
      </c>
      <c r="J378" s="269">
        <f ca="1">IFERROR(__xludf.DUMMYFUNCTION("IMPORTRANGE(""https://docs.google.com/spreadsheets/d/1XWAQStnk-4SwqDmLtmXYiTMKHgktTP8We1SCoS47DrQ/edit?usp=sharing"",""จัดที่ดิน!AI81"")"),405.45)</f>
        <v>405.45</v>
      </c>
      <c r="K378" s="497">
        <f t="shared" ca="1" si="64"/>
        <v>90.1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63" t="s">
        <v>35</v>
      </c>
      <c r="I379" s="269">
        <f ca="1">IFERROR(__xludf.DUMMYFUNCTION("IMPORTRANGE(""https://docs.google.com/spreadsheets/d/1QqKyyYR6Q21VydFLVH3TRQUabQu_ym0Zz7PgGX0-kHA/edit?usp=sharing"",""แผน!EU81"")"),100)</f>
        <v>100</v>
      </c>
      <c r="J379" s="269">
        <f ca="1">IFERROR(__xludf.DUMMYFUNCTION("IMPORTRANGE(""https://docs.google.com/spreadsheets/d/1XWAQStnk-4SwqDmLtmXYiTMKHgktTP8We1SCoS47DrQ/edit?usp=sharing"",""จัดที่ดิน!AJ81"")"),124)</f>
        <v>124</v>
      </c>
      <c r="K379" s="497">
        <f t="shared" ca="1" si="64"/>
        <v>124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63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IFERROR(__xludf.DUMMYFUNCTION("IMPORTRANGE(""https://docs.google.com/spreadsheets/d/1XWAQStnk-4SwqDmLtmXYiTMKHgktTP8We1SCoS47DrQ/edit?usp=sharing"",""จัดที่ดิน!AK81"")"),1279.87)</f>
        <v>1279.8699999999999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63" t="s">
        <v>35</v>
      </c>
      <c r="I381" s="269">
        <f ca="1">IFERROR(__xludf.DUMMYFUNCTION("IMPORTRANGE(""https://docs.google.com/spreadsheets/d/1QqKyyYR6Q21VydFLVH3TRQUabQu_ym0Zz7PgGX0-kHA/edit?usp=sharing"",""แผน!EU81"")"),100)</f>
        <v>100</v>
      </c>
      <c r="J381" s="269">
        <f ca="1">IFERROR(__xludf.DUMMYFUNCTION("IMPORTRANGE(""https://docs.google.com/spreadsheets/d/1XWAQStnk-4SwqDmLtmXYiTMKHgktTP8We1SCoS47DrQ/edit?usp=sharing"",""จัดที่ดิน!AL81"")"),124)</f>
        <v>124</v>
      </c>
      <c r="K381" s="497">
        <f t="shared" ca="1" si="64"/>
        <v>124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7"/>
      <c r="C382" s="170"/>
      <c r="D382" s="177"/>
      <c r="E382" s="447"/>
      <c r="F382" s="177"/>
      <c r="G382" s="178"/>
      <c r="H382" s="763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IFERROR(__xludf.DUMMYFUNCTION("IMPORTRANGE(""https://docs.google.com/spreadsheets/d/1XWAQStnk-4SwqDmLtmXYiTMKHgktTP8We1SCoS47DrQ/edit?usp=sharing"",""จัดที่ดิน!AM81"")"),1279.87)</f>
        <v>1279.8699999999999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498"/>
      <c r="B383" s="499"/>
      <c r="C383" s="290"/>
      <c r="D383" s="849" t="s">
        <v>169</v>
      </c>
      <c r="E383" s="290"/>
      <c r="F383" s="290"/>
      <c r="G383" s="501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4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761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503" t="s">
        <v>170</v>
      </c>
      <c r="F385" s="380"/>
      <c r="G385" s="381"/>
      <c r="H385" s="504" t="s">
        <v>35</v>
      </c>
      <c r="I385" s="505">
        <f ca="1">IFERROR(__xludf.DUMMYFUNCTION("IMPORTRANGE(""https://docs.google.com/spreadsheets/d/1QqKyyYR6Q21VydFLVH3TRQUabQu_ym0Zz7PgGX0-kHA/edit?usp=sharing"",""แผน!EW81"")"),10)</f>
        <v>10</v>
      </c>
      <c r="J385" s="505">
        <f ca="1">IFERROR(__xludf.DUMMYFUNCTION("IMPORTRANGE(""https://docs.google.com/spreadsheets/d/1XWAQStnk-4SwqDmLtmXYiTMKHgktTP8We1SCoS47DrQ/edit?usp=sharing"",""จัดที่ดิน!AP81"")"),0)</f>
        <v>0</v>
      </c>
      <c r="K385" s="506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7" t="s">
        <v>171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172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173</v>
      </c>
      <c r="C388" s="522"/>
      <c r="D388" s="523"/>
      <c r="E388" s="523"/>
      <c r="F388" s="523"/>
      <c r="G388" s="524"/>
      <c r="H388" s="525" t="s">
        <v>66</v>
      </c>
      <c r="I388" s="526">
        <f>I400</f>
        <v>0</v>
      </c>
      <c r="J388" s="526">
        <f>J400</f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6"/>
      <c r="B389" s="147"/>
      <c r="C389" s="148" t="s">
        <v>16</v>
      </c>
      <c r="D389" s="846" t="s">
        <v>17</v>
      </c>
      <c r="E389" s="147"/>
      <c r="F389" s="147"/>
      <c r="G389" s="150"/>
      <c r="H389" s="151" t="s">
        <v>12</v>
      </c>
      <c r="I389" s="420"/>
      <c r="J389" s="420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6"/>
      <c r="J390" s="616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6"/>
      <c r="J391" s="616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IFERROR(__xludf.DUMMYFUNCTION("IMPORTRANGE(""https://docs.google.com/spreadsheets/d/1MeEWN-I1oV_STSDYn1IFDPWt_1FKiwhDph83XaGc0o0/edit?usp=sharing"",""งบพรบ!FG81"")"),0)</f>
        <v>0</v>
      </c>
      <c r="M394" s="92">
        <f ca="1">IFERROR(__xludf.DUMMYFUNCTION("IMPORTRANGE(""https://docs.google.com/spreadsheets/d/1MeEWN-I1oV_STSDYn1IFDPWt_1FKiwhDph83XaGc0o0/edit?usp=sharing"",""งบพรบ!FL81"")"),0)</f>
        <v>0</v>
      </c>
      <c r="N394" s="92">
        <f ca="1">IFERROR(__xludf.DUMMYFUNCTION("IMPORTRANGE(""https://docs.google.com/spreadsheets/d/1MeEWN-I1oV_STSDYn1IFDPWt_1FKiwhDph83XaGc0o0/edit?usp=sharing"",""งบพรบ!FN81"")"),0)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IFERROR(__xludf.DUMMYFUNCTION("IMPORTRANGE(""https://docs.google.com/spreadsheets/d/1MeEWN-I1oV_STSDYn1IFDPWt_1FKiwhDph83XaGc0o0/edit?usp=sharing"",""งบพรบ!FJ81"")"),0)</f>
        <v>0</v>
      </c>
      <c r="M397" s="92">
        <f ca="1">IFERROR(__xludf.DUMMYFUNCTION("IMPORTRANGE(""https://docs.google.com/spreadsheets/d/1MeEWN-I1oV_STSDYn1IFDPWt_1FKiwhDph83XaGc0o0/edit?usp=sharing"",""งบพรบ!FM81"")"),0)</f>
        <v>0</v>
      </c>
      <c r="N397" s="92">
        <f ca="1">IFERROR(__xludf.DUMMYFUNCTION("IMPORTRANGE(""https://docs.google.com/spreadsheets/d/1MeEWN-I1oV_STSDYn1IFDPWt_1FKiwhDph83XaGc0o0/edit?usp=sharing"",""งบพรบ!FO81"")"),0)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47" t="s">
        <v>38</v>
      </c>
      <c r="E398" s="172"/>
      <c r="F398" s="172"/>
      <c r="G398" s="173"/>
      <c r="H398" s="761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9"/>
      <c r="B399" s="147"/>
      <c r="C399" s="530"/>
      <c r="D399" s="531" t="s">
        <v>174</v>
      </c>
      <c r="E399" s="415"/>
      <c r="F399" s="147"/>
      <c r="G399" s="150"/>
      <c r="H399" s="532" t="s">
        <v>9</v>
      </c>
      <c r="I399" s="269">
        <v>0</v>
      </c>
      <c r="J399" s="214">
        <v>0</v>
      </c>
      <c r="K399" s="497">
        <f>IF(I399&gt;0,J399*100/I399,0)</f>
        <v>0</v>
      </c>
      <c r="L399" s="533"/>
      <c r="M399" s="533"/>
      <c r="N399" s="533"/>
      <c r="O399" s="533"/>
      <c r="P399" s="533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3"/>
      <c r="B400" s="32"/>
      <c r="C400" s="280"/>
      <c r="D400" s="447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20"/>
      <c r="B401" s="521" t="s">
        <v>176</v>
      </c>
      <c r="C401" s="522"/>
      <c r="D401" s="523"/>
      <c r="E401" s="523"/>
      <c r="F401" s="523"/>
      <c r="G401" s="524"/>
      <c r="H401" s="525" t="s">
        <v>66</v>
      </c>
      <c r="I401" s="526">
        <f>I412</f>
        <v>0</v>
      </c>
      <c r="J401" s="526">
        <f>J412</f>
        <v>0</v>
      </c>
      <c r="K401" s="527">
        <f>IF(I401&gt;0,J401*100/I401,0)</f>
        <v>0</v>
      </c>
      <c r="L401" s="528"/>
      <c r="M401" s="528"/>
      <c r="N401" s="528"/>
      <c r="O401" s="528"/>
      <c r="P401" s="528"/>
    </row>
    <row r="402" spans="1:26" ht="19.5" hidden="1">
      <c r="A402" s="146"/>
      <c r="B402" s="147"/>
      <c r="C402" s="148" t="s">
        <v>16</v>
      </c>
      <c r="D402" s="846" t="s">
        <v>17</v>
      </c>
      <c r="E402" s="147"/>
      <c r="F402" s="147"/>
      <c r="G402" s="150"/>
      <c r="H402" s="151" t="s">
        <v>12</v>
      </c>
      <c r="I402" s="420"/>
      <c r="J402" s="420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6"/>
      <c r="J403" s="616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6"/>
      <c r="J404" s="616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IFERROR(__xludf.DUMMYFUNCTION("IMPORTRANGE(""https://docs.google.com/spreadsheets/d/1MeEWN-I1oV_STSDYn1IFDPWt_1FKiwhDph83XaGc0o0/edit?usp=sharing"",""งบพรบ!FQ81"")"),0)</f>
        <v>0</v>
      </c>
      <c r="M407" s="92">
        <f ca="1">IFERROR(__xludf.DUMMYFUNCTION("IMPORTRANGE(""https://docs.google.com/spreadsheets/d/1MeEWN-I1oV_STSDYn1IFDPWt_1FKiwhDph83XaGc0o0/edit?usp=sharing"",""งบพรบ!FV81"")"),0)</f>
        <v>0</v>
      </c>
      <c r="N407" s="92">
        <f ca="1">IFERROR(__xludf.DUMMYFUNCTION("IMPORTRANGE(""https://docs.google.com/spreadsheets/d/1MeEWN-I1oV_STSDYn1IFDPWt_1FKiwhDph83XaGc0o0/edit?usp=sharing"",""งบพรบ!FX81"")"),0)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IFERROR(__xludf.DUMMYFUNCTION("IMPORTRANGE(""https://docs.google.com/spreadsheets/d/1MeEWN-I1oV_STSDYn1IFDPWt_1FKiwhDph83XaGc0o0/edit?usp=sharing"",""งบพรบ!FT81"")"),0)</f>
        <v>0</v>
      </c>
      <c r="M410" s="92">
        <f ca="1">IFERROR(__xludf.DUMMYFUNCTION("IMPORTRANGE(""https://docs.google.com/spreadsheets/d/1MeEWN-I1oV_STSDYn1IFDPWt_1FKiwhDph83XaGc0o0/edit?usp=sharing"",""งบพรบ!FW81"")"),0)</f>
        <v>0</v>
      </c>
      <c r="N410" s="92">
        <f ca="1">IFERROR(__xludf.DUMMYFUNCTION("IMPORTRANGE(""https://docs.google.com/spreadsheets/d/1MeEWN-I1oV_STSDYn1IFDPWt_1FKiwhDph83XaGc0o0/edit?usp=sharing"",""งบพรบ!FY81"")"),0)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45" t="s">
        <v>38</v>
      </c>
      <c r="E411" s="535"/>
      <c r="F411" s="535"/>
      <c r="G411" s="536"/>
      <c r="H411" s="761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7" t="s">
        <v>177</v>
      </c>
      <c r="E412" s="177"/>
      <c r="F412" s="177"/>
      <c r="G412" s="178"/>
      <c r="H412" s="537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8"/>
      <c r="B413" s="539"/>
      <c r="C413" s="539"/>
      <c r="D413" s="540" t="s">
        <v>178</v>
      </c>
      <c r="E413" s="539"/>
      <c r="F413" s="539"/>
      <c r="G413" s="541"/>
      <c r="H413" s="542" t="s">
        <v>179</v>
      </c>
      <c r="I413" s="543">
        <v>0</v>
      </c>
      <c r="J413" s="544">
        <v>0</v>
      </c>
      <c r="K413" s="545">
        <f>IF(I413&gt;0,J413*100/I413,0)</f>
        <v>0</v>
      </c>
      <c r="L413" s="546"/>
      <c r="M413" s="546"/>
      <c r="N413" s="546"/>
      <c r="O413" s="546"/>
      <c r="P413" s="546"/>
    </row>
    <row r="414" spans="1:26" ht="19.5">
      <c r="A414" s="547" t="s">
        <v>180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ca="1">L419+L444+L467+L502+L523+L544+L629+L655+L685+L737+L754+L770+L786+L805</f>
        <v>722426</v>
      </c>
      <c r="M414" s="553">
        <f ca="1">M419+M444+M467+M502+M523+M544+M629+M655+M685+M737+M754+M770+M786+M805</f>
        <v>756411.32000000007</v>
      </c>
      <c r="N414" s="553">
        <f>N419+N444+N467+N502+N523+N544+N629+N655+N685+N737+N754+N770+N786+N805</f>
        <v>756411.32000000007</v>
      </c>
      <c r="O414" s="553">
        <f ca="1">IF(L414&gt;0,N414*100/L414,0)</f>
        <v>104.70433234684245</v>
      </c>
      <c r="P414" s="553">
        <f ca="1">IF(M414&gt;0,N414*100/M414,0)</f>
        <v>99.999999999999986</v>
      </c>
    </row>
    <row r="415" spans="1:26" ht="19.5">
      <c r="A415" s="554" t="s">
        <v>181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182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183</v>
      </c>
      <c r="C417" s="565"/>
      <c r="D417" s="566"/>
      <c r="E417" s="566"/>
      <c r="F417" s="566"/>
      <c r="G417" s="567"/>
      <c r="H417" s="568" t="s">
        <v>35</v>
      </c>
      <c r="I417" s="569">
        <f ca="1">I433</f>
        <v>20</v>
      </c>
      <c r="J417" s="569">
        <f ca="1">J433</f>
        <v>20</v>
      </c>
      <c r="K417" s="570">
        <f ca="1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ca="1">I434</f>
        <v>1</v>
      </c>
      <c r="J418" s="569">
        <f>J434</f>
        <v>1</v>
      </c>
      <c r="K418" s="570">
        <f ca="1">IF(I418&gt;0,J418*100/I418,0)</f>
        <v>100</v>
      </c>
      <c r="L418" s="571"/>
      <c r="M418" s="571"/>
      <c r="N418" s="571"/>
      <c r="O418" s="571"/>
      <c r="P418" s="571"/>
    </row>
    <row r="419" spans="1:26" ht="19.5">
      <c r="A419" s="146"/>
      <c r="B419" s="147"/>
      <c r="C419" s="147" t="s">
        <v>16</v>
      </c>
      <c r="D419" s="910" t="s">
        <v>17</v>
      </c>
      <c r="E419" s="890"/>
      <c r="F419" s="890"/>
      <c r="G419" s="150"/>
      <c r="H419" s="274" t="s">
        <v>12</v>
      </c>
      <c r="I419" s="420"/>
      <c r="J419" s="420"/>
      <c r="K419" s="153"/>
      <c r="L419" s="154">
        <f ca="1">L420+L421</f>
        <v>78660</v>
      </c>
      <c r="M419" s="154">
        <f ca="1">M420+M421</f>
        <v>83660</v>
      </c>
      <c r="N419" s="154">
        <f>N420+N421</f>
        <v>83660</v>
      </c>
      <c r="O419" s="154">
        <f t="shared" ref="O419:O424" ca="1" si="71">IF(L419&gt;0,N419*100/L419,0)</f>
        <v>106.35647088736333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6"/>
      <c r="J420" s="616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6"/>
      <c r="J421" s="616"/>
      <c r="K421" s="92"/>
      <c r="L421" s="92">
        <f t="shared" ca="1" si="73"/>
        <v>78660</v>
      </c>
      <c r="M421" s="92">
        <f t="shared" ca="1" si="73"/>
        <v>83660</v>
      </c>
      <c r="N421" s="92">
        <f t="shared" si="73"/>
        <v>83660</v>
      </c>
      <c r="O421" s="92">
        <f t="shared" ca="1" si="71"/>
        <v>106.35647088736333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78660</v>
      </c>
      <c r="M422" s="497">
        <f ca="1">M423+M424</f>
        <v>83660</v>
      </c>
      <c r="N422" s="497">
        <f>N423+N424</f>
        <v>83660</v>
      </c>
      <c r="O422" s="497">
        <f t="shared" ca="1" si="71"/>
        <v>106.35647088736333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6"/>
      <c r="J423" s="616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6"/>
      <c r="J424" s="616"/>
      <c r="K424" s="92"/>
      <c r="L424" s="92">
        <f ca="1">IFERROR(__xludf.DUMMYFUNCTION("IMPORTRANGE(""https://docs.google.com/spreadsheets/d/1QqKyyYR6Q21VydFLVH3TRQUabQu_ym0Zz7PgGX0-kHA/edit?usp=sharing"",""แผน!EY81"")"),78660)</f>
        <v>78660</v>
      </c>
      <c r="M424" s="92">
        <f ca="1">L424+5000</f>
        <v>83660</v>
      </c>
      <c r="N424" s="92">
        <f>N425+N426+N427+N428</f>
        <v>83660</v>
      </c>
      <c r="O424" s="92">
        <f t="shared" ca="1" si="71"/>
        <v>106.35647088736333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73"/>
      <c r="B425" s="574"/>
      <c r="C425" s="762"/>
      <c r="D425" s="762"/>
      <c r="E425" s="762"/>
      <c r="F425" s="762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826">
        <v>61860</v>
      </c>
      <c r="O425" s="497"/>
      <c r="P425" s="497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826">
        <v>0</v>
      </c>
      <c r="O426" s="497"/>
      <c r="P426" s="497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826">
        <v>0</v>
      </c>
      <c r="O427" s="497"/>
      <c r="P427" s="497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3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826">
        <v>21800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IFERROR(__xludf.DUMMYFUNCTION("IMPORTRANGE(""https://docs.google.com/spreadsheets/d/1QqKyyYR6Q21VydFLVH3TRQUabQu_ym0Zz7PgGX0-kHA/edit?usp=sharing"",""แผน!FB81"")"),0)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4"/>
      <c r="B432" s="415"/>
      <c r="C432" s="147" t="s">
        <v>16</v>
      </c>
      <c r="D432" s="844" t="s">
        <v>38</v>
      </c>
      <c r="E432" s="579"/>
      <c r="F432" s="579"/>
      <c r="G432" s="580"/>
      <c r="H432" s="581"/>
      <c r="I432" s="420"/>
      <c r="J432" s="420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80">
        <f ca="1">I435</f>
        <v>20</v>
      </c>
      <c r="J433" s="680">
        <f ca="1">IF(AND(J435=I435,J437=I437,J439=I439),I437+I439,IF(AND(J435=I437,J437=I437),I437,IF(AND(J435=I439,J439=I439),I439,0)))</f>
        <v>20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80">
        <f ca="1">I438+I440</f>
        <v>1</v>
      </c>
      <c r="J434" s="680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7" t="s">
        <v>192</v>
      </c>
      <c r="E435" s="177"/>
      <c r="F435" s="177"/>
      <c r="G435" s="178"/>
      <c r="H435" s="622" t="s">
        <v>35</v>
      </c>
      <c r="I435" s="582">
        <f ca="1">IFERROR(__xludf.DUMMYFUNCTION("IMPORTRANGE(""https://docs.google.com/spreadsheets/d/1QqKyyYR6Q21VydFLVH3TRQUabQu_ym0Zz7PgGX0-kHA/edit?usp=sharing"",""แผน!FC81"")"),20)</f>
        <v>20</v>
      </c>
      <c r="J435" s="583">
        <v>20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7" t="s">
        <v>193</v>
      </c>
      <c r="E436" s="177"/>
      <c r="F436" s="177"/>
      <c r="G436" s="178"/>
      <c r="H436" s="622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7" t="s">
        <v>194</v>
      </c>
      <c r="E437" s="177"/>
      <c r="F437" s="177"/>
      <c r="G437" s="178"/>
      <c r="H437" s="622" t="s">
        <v>35</v>
      </c>
      <c r="I437" s="582">
        <f ca="1">IFERROR(__xludf.DUMMYFUNCTION("IMPORTRANGE(""https://docs.google.com/spreadsheets/d/1QqKyyYR6Q21VydFLVH3TRQUabQu_ym0Zz7PgGX0-kHA/edit?usp=sharing"",""แผน!FD81"")"),0)</f>
        <v>0</v>
      </c>
      <c r="J437" s="583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7" t="s">
        <v>195</v>
      </c>
      <c r="E438" s="177"/>
      <c r="F438" s="177"/>
      <c r="G438" s="178"/>
      <c r="H438" s="622" t="s">
        <v>49</v>
      </c>
      <c r="I438" s="269">
        <f ca="1">IFERROR(__xludf.DUMMYFUNCTION("IMPORTRANGE(""https://docs.google.com/spreadsheets/d/1QqKyyYR6Q21VydFLVH3TRQUabQu_ym0Zz7PgGX0-kHA/edit?usp=sharing"",""แผน!FE81"")"),0)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7" t="s">
        <v>196</v>
      </c>
      <c r="E439" s="177"/>
      <c r="F439" s="177"/>
      <c r="G439" s="178"/>
      <c r="H439" s="622" t="s">
        <v>35</v>
      </c>
      <c r="I439" s="582">
        <f ca="1">IFERROR(__xludf.DUMMYFUNCTION("IMPORTRANGE(""https://docs.google.com/spreadsheets/d/1QqKyyYR6Q21VydFLVH3TRQUabQu_ym0Zz7PgGX0-kHA/edit?usp=sharing"",""แผน!FF81"")"),20)</f>
        <v>20</v>
      </c>
      <c r="J439" s="583">
        <v>20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7" t="s">
        <v>197</v>
      </c>
      <c r="E440" s="177"/>
      <c r="F440" s="177"/>
      <c r="G440" s="178"/>
      <c r="H440" s="622" t="s">
        <v>49</v>
      </c>
      <c r="I440" s="269">
        <f ca="1">IFERROR(__xludf.DUMMYFUNCTION("IMPORTRANGE(""https://docs.google.com/spreadsheets/d/1QqKyyYR6Q21VydFLVH3TRQUabQu_ym0Zz7PgGX0-kHA/edit?usp=sharing"",""แผน!FG81"")"),1)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7" t="s">
        <v>198</v>
      </c>
      <c r="E441" s="177"/>
      <c r="F441" s="177"/>
      <c r="G441" s="178"/>
      <c r="H441" s="622" t="s">
        <v>35</v>
      </c>
      <c r="I441" s="269">
        <f ca="1">IFERROR(__xludf.DUMMYFUNCTION("IMPORTRANGE(""https://docs.google.com/spreadsheets/d/1QqKyyYR6Q21VydFLVH3TRQUabQu_ym0Zz7PgGX0-kHA/edit?usp=sharing"",""แผน!FH81"")"),0)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84">
        <v>2</v>
      </c>
      <c r="B442" s="585" t="s">
        <v>199</v>
      </c>
      <c r="C442" s="586"/>
      <c r="D442" s="586"/>
      <c r="E442" s="586"/>
      <c r="F442" s="586"/>
      <c r="G442" s="587"/>
      <c r="H442" s="588" t="s">
        <v>35</v>
      </c>
      <c r="I442" s="589">
        <f ca="1">I460</f>
        <v>10</v>
      </c>
      <c r="J442" s="589">
        <f>J460</f>
        <v>10</v>
      </c>
      <c r="K442" s="590">
        <f t="shared" ca="1" si="7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ca="1">I462</f>
        <v>30</v>
      </c>
      <c r="J443" s="569">
        <f>J462</f>
        <v>30</v>
      </c>
      <c r="K443" s="570">
        <f t="shared" ca="1" si="7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87" t="s">
        <v>17</v>
      </c>
      <c r="E444" s="888"/>
      <c r="F444" s="888"/>
      <c r="G444" s="188"/>
      <c r="H444" s="597" t="s">
        <v>12</v>
      </c>
      <c r="I444" s="269"/>
      <c r="J444" s="269"/>
      <c r="K444" s="497"/>
      <c r="L444" s="194">
        <f ca="1">L445+L446</f>
        <v>77160</v>
      </c>
      <c r="M444" s="194">
        <f ca="1">M445+M446</f>
        <v>96310</v>
      </c>
      <c r="N444" s="194">
        <f>N445+N446</f>
        <v>96310</v>
      </c>
      <c r="O444" s="194">
        <f t="shared" ref="O444:O449" ca="1" si="75">IF(L444&gt;0,N444*100/L444,0)</f>
        <v>124.81855883877657</v>
      </c>
      <c r="P444" s="194">
        <f t="shared" ref="P444:P449" ca="1" si="76">IF(M444&gt;0,N444*100/M444,0)</f>
        <v>100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184</v>
      </c>
      <c r="F445" s="758"/>
      <c r="G445" s="602"/>
      <c r="H445" s="164" t="s">
        <v>12</v>
      </c>
      <c r="I445" s="616"/>
      <c r="J445" s="616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185</v>
      </c>
      <c r="F446" s="758"/>
      <c r="G446" s="602"/>
      <c r="H446" s="164" t="s">
        <v>12</v>
      </c>
      <c r="I446" s="616"/>
      <c r="J446" s="616"/>
      <c r="K446" s="92"/>
      <c r="L446" s="92">
        <f t="shared" ca="1" si="77"/>
        <v>77160</v>
      </c>
      <c r="M446" s="92">
        <f t="shared" ca="1" si="77"/>
        <v>96310</v>
      </c>
      <c r="N446" s="92">
        <f t="shared" si="77"/>
        <v>96310</v>
      </c>
      <c r="O446" s="92">
        <f t="shared" ca="1" si="75"/>
        <v>124.81855883877657</v>
      </c>
      <c r="P446" s="92">
        <f t="shared" ca="1" si="76"/>
        <v>100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8"/>
      <c r="H447" s="160" t="s">
        <v>12</v>
      </c>
      <c r="I447" s="183"/>
      <c r="J447" s="183"/>
      <c r="K447" s="162"/>
      <c r="L447" s="497">
        <f ca="1">L448+L449</f>
        <v>77160</v>
      </c>
      <c r="M447" s="497">
        <f ca="1">M448+M449</f>
        <v>96310</v>
      </c>
      <c r="N447" s="497">
        <f>N448+N449</f>
        <v>96310</v>
      </c>
      <c r="O447" s="497">
        <f t="shared" ca="1" si="75"/>
        <v>124.81855883877657</v>
      </c>
      <c r="P447" s="497">
        <f t="shared" ca="1" si="76"/>
        <v>100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184</v>
      </c>
      <c r="F448" s="758"/>
      <c r="G448" s="602"/>
      <c r="H448" s="164" t="s">
        <v>12</v>
      </c>
      <c r="I448" s="616"/>
      <c r="J448" s="616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185</v>
      </c>
      <c r="F449" s="758"/>
      <c r="G449" s="602"/>
      <c r="H449" s="164" t="s">
        <v>12</v>
      </c>
      <c r="I449" s="616"/>
      <c r="J449" s="616"/>
      <c r="K449" s="92"/>
      <c r="L449" s="92">
        <f ca="1">IFERROR(__xludf.DUMMYFUNCTION("IMPORTRANGE(""https://docs.google.com/spreadsheets/d/1QqKyyYR6Q21VydFLVH3TRQUabQu_ym0Zz7PgGX0-kHA/edit?usp=sharing"",""แผน!FJ81"")"),77160)</f>
        <v>77160</v>
      </c>
      <c r="M449" s="92">
        <f ca="1">L449+24350-5200</f>
        <v>96310</v>
      </c>
      <c r="N449" s="92">
        <f>N450+N451+N452+N453</f>
        <v>96310</v>
      </c>
      <c r="O449" s="92">
        <f t="shared" ca="1" si="75"/>
        <v>124.81855883877657</v>
      </c>
      <c r="P449" s="92">
        <f t="shared" ca="1" si="76"/>
        <v>100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826">
        <v>46000</v>
      </c>
      <c r="O450" s="497"/>
      <c r="P450" s="497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826">
        <v>34000</v>
      </c>
      <c r="O451" s="497"/>
      <c r="P451" s="497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826">
        <v>0</v>
      </c>
      <c r="O452" s="497"/>
      <c r="P452" s="497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826">
        <v>16310</v>
      </c>
      <c r="O453" s="497"/>
      <c r="P453" s="497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IFERROR(__xludf.DUMMYFUNCTION("IMPORTRANGE(""https://docs.google.com/spreadsheets/d/1QqKyyYR6Q21VydFLVH3TRQUabQu_ym0Zz7PgGX0-kHA/edit?usp=sharing"",""แผน!FM81"")"),0)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40" t="s">
        <v>38</v>
      </c>
      <c r="E457" s="610"/>
      <c r="F457" s="760"/>
      <c r="G457" s="612"/>
      <c r="H457" s="761"/>
      <c r="I457" s="269"/>
      <c r="J457" s="269"/>
      <c r="K457" s="497"/>
      <c r="L457" s="497"/>
      <c r="M457" s="497"/>
      <c r="N457" s="497"/>
      <c r="O457" s="497"/>
      <c r="P457" s="497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200</v>
      </c>
      <c r="E458" s="615"/>
      <c r="F458" s="719"/>
      <c r="G458" s="365"/>
      <c r="H458" s="369" t="s">
        <v>35</v>
      </c>
      <c r="I458" s="616">
        <v>0</v>
      </c>
      <c r="J458" s="616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201</v>
      </c>
      <c r="E459" s="615"/>
      <c r="F459" s="719"/>
      <c r="G459" s="365"/>
      <c r="H459" s="369"/>
      <c r="I459" s="616"/>
      <c r="J459" s="616"/>
      <c r="K459" s="92"/>
      <c r="L459" s="92"/>
      <c r="M459" s="92"/>
      <c r="N459" s="92"/>
      <c r="O459" s="92"/>
      <c r="P459" s="92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202</v>
      </c>
      <c r="E460" s="617"/>
      <c r="F460" s="625"/>
      <c r="G460" s="761"/>
      <c r="H460" s="763" t="s">
        <v>35</v>
      </c>
      <c r="I460" s="269">
        <f ca="1">IFERROR(__xludf.DUMMYFUNCTION("IMPORTRANGE(""https://docs.google.com/spreadsheets/d/1QqKyyYR6Q21VydFLVH3TRQUabQu_ym0Zz7PgGX0-kHA/edit?usp=sharing"",""แผน!FN81"")"),10)</f>
        <v>10</v>
      </c>
      <c r="J460" s="214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203</v>
      </c>
      <c r="E461" s="625"/>
      <c r="F461" s="625"/>
      <c r="G461" s="761"/>
      <c r="H461" s="763"/>
      <c r="I461" s="269"/>
      <c r="J461" s="269"/>
      <c r="K461" s="497"/>
      <c r="L461" s="497"/>
      <c r="M461" s="497"/>
      <c r="N461" s="497"/>
      <c r="O461" s="497"/>
      <c r="P461" s="497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204</v>
      </c>
      <c r="E462" s="625"/>
      <c r="F462" s="625"/>
      <c r="G462" s="761"/>
      <c r="H462" s="763" t="s">
        <v>46</v>
      </c>
      <c r="I462" s="269">
        <f ca="1">IFERROR(__xludf.DUMMYFUNCTION("IMPORTRANGE(""https://docs.google.com/spreadsheets/d/1QqKyyYR6Q21VydFLVH3TRQUabQu_ym0Zz7PgGX0-kHA/edit?usp=sharing"",""แผน!FO81"")"),30)</f>
        <v>30</v>
      </c>
      <c r="J462" s="214">
        <v>30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8"/>
      <c r="H463" s="763" t="s">
        <v>46</v>
      </c>
      <c r="I463" s="269">
        <f ca="1">IFERROR(__xludf.DUMMYFUNCTION("IMPORTRANGE(""https://docs.google.com/spreadsheets/d/1QqKyyYR6Q21VydFLVH3TRQUabQu_ym0Zz7PgGX0-kHA/edit?usp=sharing"",""แผน!FO81"")"),30)</f>
        <v>30</v>
      </c>
      <c r="J463" s="214">
        <v>30</v>
      </c>
      <c r="K463" s="497"/>
      <c r="L463" s="497"/>
      <c r="M463" s="497"/>
      <c r="N463" s="497"/>
      <c r="O463" s="497"/>
      <c r="P463" s="497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69">
        <f ca="1">IFERROR(__xludf.DUMMYFUNCTION("IMPORTRANGE(""https://docs.google.com/spreadsheets/d/1QqKyyYR6Q21VydFLVH3TRQUabQu_ym0Zz7PgGX0-kHA/edit?usp=sharing"",""แผน!FN81"")"),10)</f>
        <v>10</v>
      </c>
      <c r="J464" s="214">
        <v>10</v>
      </c>
      <c r="K464" s="497"/>
      <c r="L464" s="497"/>
      <c r="M464" s="497"/>
      <c r="N464" s="497"/>
      <c r="O464" s="497"/>
      <c r="P464" s="497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205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IFERROR(__xludf.DUMMYFUNCTION("IMPORTRANGE(""https://docs.google.com/spreadsheets/d/1QqKyyYR6Q21VydFLVH3TRQUabQu_ym0Zz7PgGX0-kHA/edit?usp=sharing"",""แผน!FX81"")"),41)</f>
        <v>41</v>
      </c>
      <c r="J465" s="589">
        <f>J485+J489+J492</f>
        <v>41</v>
      </c>
      <c r="K465" s="590">
        <f ca="1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IFERROR(__xludf.DUMMYFUNCTION("IMPORTRANGE(""https://docs.google.com/spreadsheets/d/1QqKyyYR6Q21VydFLVH3TRQUabQu_ym0Zz7PgGX0-kHA/edit?usp=sharing"",""แผน!FW81"")"),400)</f>
        <v>400</v>
      </c>
      <c r="J466" s="569">
        <f>J495+J498</f>
        <v>400</v>
      </c>
      <c r="K466" s="570">
        <f ca="1">IF(I466&gt;0,J466*100/I466,0)</f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87" t="s">
        <v>17</v>
      </c>
      <c r="E467" s="888"/>
      <c r="F467" s="888"/>
      <c r="G467" s="188"/>
      <c r="H467" s="597" t="s">
        <v>12</v>
      </c>
      <c r="I467" s="269"/>
      <c r="J467" s="269"/>
      <c r="K467" s="497"/>
      <c r="L467" s="194">
        <f ca="1">L468+L469</f>
        <v>327863</v>
      </c>
      <c r="M467" s="194">
        <f ca="1">M468+M469</f>
        <v>340483</v>
      </c>
      <c r="N467" s="194">
        <f>N468+N469</f>
        <v>340483</v>
      </c>
      <c r="O467" s="194">
        <f t="shared" ref="O467:O472" ca="1" si="78">IF(L467&gt;0,N467*100/L467,0)</f>
        <v>103.84916870766143</v>
      </c>
      <c r="P467" s="194">
        <f t="shared" ref="P467:P472" ca="1" si="79">IF(M467&gt;0,N467*100/M467,0)</f>
        <v>100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184</v>
      </c>
      <c r="F468" s="758"/>
      <c r="G468" s="602"/>
      <c r="H468" s="164" t="s">
        <v>12</v>
      </c>
      <c r="I468" s="616"/>
      <c r="J468" s="616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185</v>
      </c>
      <c r="F469" s="758"/>
      <c r="G469" s="602"/>
      <c r="H469" s="164" t="s">
        <v>12</v>
      </c>
      <c r="I469" s="616"/>
      <c r="J469" s="616"/>
      <c r="K469" s="92"/>
      <c r="L469" s="92">
        <f t="shared" ca="1" si="80"/>
        <v>327863</v>
      </c>
      <c r="M469" s="92">
        <f t="shared" ca="1" si="80"/>
        <v>340483</v>
      </c>
      <c r="N469" s="92">
        <f t="shared" si="80"/>
        <v>340483</v>
      </c>
      <c r="O469" s="92">
        <f t="shared" ca="1" si="78"/>
        <v>103.84916870766143</v>
      </c>
      <c r="P469" s="92">
        <f t="shared" ca="1" si="79"/>
        <v>100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8"/>
      <c r="H470" s="160" t="s">
        <v>12</v>
      </c>
      <c r="I470" s="183"/>
      <c r="J470" s="183"/>
      <c r="K470" s="162"/>
      <c r="L470" s="497">
        <f ca="1">L471+L472</f>
        <v>327863</v>
      </c>
      <c r="M470" s="497">
        <f ca="1">M471+M472</f>
        <v>340483</v>
      </c>
      <c r="N470" s="497">
        <f>N471+N472</f>
        <v>340483</v>
      </c>
      <c r="O470" s="497">
        <f t="shared" ca="1" si="78"/>
        <v>103.84916870766143</v>
      </c>
      <c r="P470" s="497">
        <f t="shared" ca="1" si="79"/>
        <v>100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184</v>
      </c>
      <c r="F471" s="758"/>
      <c r="G471" s="602"/>
      <c r="H471" s="164" t="s">
        <v>12</v>
      </c>
      <c r="I471" s="616"/>
      <c r="J471" s="616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185</v>
      </c>
      <c r="F472" s="758"/>
      <c r="G472" s="602"/>
      <c r="H472" s="164" t="s">
        <v>12</v>
      </c>
      <c r="I472" s="616"/>
      <c r="J472" s="616"/>
      <c r="K472" s="92"/>
      <c r="L472" s="92">
        <f ca="1">IFERROR(__xludf.DUMMYFUNCTION("IMPORTRANGE(""https://docs.google.com/spreadsheets/d/1QqKyyYR6Q21VydFLVH3TRQUabQu_ym0Zz7PgGX0-kHA/edit?usp=sharing"",""แผน!FS81"")"),327863)</f>
        <v>327863</v>
      </c>
      <c r="M472" s="92">
        <f ca="1">L472+12620</f>
        <v>340483</v>
      </c>
      <c r="N472" s="92">
        <f>N473+N474+N475+N476</f>
        <v>340483</v>
      </c>
      <c r="O472" s="92">
        <f t="shared" ca="1" si="78"/>
        <v>103.84916870766143</v>
      </c>
      <c r="P472" s="92">
        <f t="shared" ca="1" si="79"/>
        <v>100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826">
        <v>56116</v>
      </c>
      <c r="O473" s="497"/>
      <c r="P473" s="497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826">
        <v>248000</v>
      </c>
      <c r="O474" s="497"/>
      <c r="P474" s="497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826">
        <v>0</v>
      </c>
      <c r="O475" s="497"/>
      <c r="P475" s="497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826">
        <v>36367</v>
      </c>
      <c r="O476" s="497"/>
      <c r="P476" s="497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IFERROR(__xludf.DUMMYFUNCTION("IMPORTRANGE(""https://docs.google.com/spreadsheets/d/1QqKyyYR6Q21VydFLVH3TRQUabQu_ym0Zz7PgGX0-kHA/edit?usp=sharing"",""แผน!FV81"")"),0)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43" t="s">
        <v>38</v>
      </c>
      <c r="E480" s="610"/>
      <c r="F480" s="760"/>
      <c r="G480" s="612"/>
      <c r="H480" s="761"/>
      <c r="I480" s="269"/>
      <c r="J480" s="269"/>
      <c r="K480" s="497"/>
      <c r="L480" s="497"/>
      <c r="M480" s="497"/>
      <c r="N480" s="497"/>
      <c r="O480" s="497"/>
      <c r="P480" s="497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206</v>
      </c>
      <c r="E481" s="617"/>
      <c r="F481" s="617"/>
      <c r="G481" s="761"/>
      <c r="H481" s="188"/>
      <c r="I481" s="269"/>
      <c r="J481" s="269"/>
      <c r="K481" s="497"/>
      <c r="L481" s="497"/>
      <c r="M481" s="497"/>
      <c r="N481" s="497"/>
      <c r="O481" s="497"/>
      <c r="P481" s="497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207</v>
      </c>
      <c r="F482" s="617"/>
      <c r="G482" s="761"/>
      <c r="H482" s="188"/>
      <c r="I482" s="269"/>
      <c r="J482" s="269"/>
      <c r="K482" s="497"/>
      <c r="L482" s="497"/>
      <c r="M482" s="497"/>
      <c r="N482" s="497"/>
      <c r="O482" s="497"/>
      <c r="P482" s="497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208</v>
      </c>
      <c r="G483" s="761"/>
      <c r="H483" s="622" t="s">
        <v>46</v>
      </c>
      <c r="I483" s="269">
        <f ca="1">IFERROR(__xludf.DUMMYFUNCTION("IMPORTRANGE(""https://docs.google.com/spreadsheets/d/1QqKyyYR6Q21VydFLVH3TRQUabQu_ym0Zz7PgGX0-kHA/edit?usp=sharing"",""แผน!FY81"")"),360)</f>
        <v>360</v>
      </c>
      <c r="J483" s="214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209</v>
      </c>
      <c r="G484" s="761"/>
      <c r="H484" s="622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210</v>
      </c>
      <c r="G485" s="761"/>
      <c r="H485" s="622" t="s">
        <v>35</v>
      </c>
      <c r="I485" s="269">
        <f ca="1">IFERROR(__xludf.DUMMYFUNCTION("IMPORTRANGE(""https://docs.google.com/spreadsheets/d/1QqKyyYR6Q21VydFLVH3TRQUabQu_ym0Zz7PgGX0-kHA/edit?usp=sharing"",""แผน!FZ81"")"),36)</f>
        <v>36</v>
      </c>
      <c r="J485" s="214">
        <v>36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69"/>
      <c r="J486" s="269"/>
      <c r="K486" s="497"/>
      <c r="L486" s="497"/>
      <c r="M486" s="497"/>
      <c r="N486" s="497"/>
      <c r="O486" s="497"/>
      <c r="P486" s="497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208</v>
      </c>
      <c r="G487" s="761"/>
      <c r="H487" s="622" t="s">
        <v>46</v>
      </c>
      <c r="I487" s="269">
        <f ca="1">IFERROR(__xludf.DUMMYFUNCTION("IMPORTRANGE(""https://docs.google.com/spreadsheets/d/1QqKyyYR6Q21VydFLVH3TRQUabQu_ym0Zz7PgGX0-kHA/edit?usp=sharing"",""แผน!GA81"")"),40)</f>
        <v>40</v>
      </c>
      <c r="J487" s="214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211</v>
      </c>
      <c r="G488" s="761"/>
      <c r="H488" s="622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212</v>
      </c>
      <c r="G489" s="761"/>
      <c r="H489" s="622" t="s">
        <v>35</v>
      </c>
      <c r="I489" s="269">
        <f ca="1">IFERROR(__xludf.DUMMYFUNCTION("IMPORTRANGE(""https://docs.google.com/spreadsheets/d/1QqKyyYR6Q21VydFLVH3TRQUabQu_ym0Zz7PgGX0-kHA/edit?usp=sharing"",""แผน!GB81"")"),4)</f>
        <v>4</v>
      </c>
      <c r="J489" s="214">
        <v>4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69"/>
      <c r="J490" s="269"/>
      <c r="K490" s="497"/>
      <c r="L490" s="497"/>
      <c r="M490" s="497"/>
      <c r="N490" s="497"/>
      <c r="O490" s="497"/>
      <c r="P490" s="497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213</v>
      </c>
      <c r="G491" s="761"/>
      <c r="H491" s="622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214</v>
      </c>
      <c r="G492" s="761"/>
      <c r="H492" s="622" t="s">
        <v>35</v>
      </c>
      <c r="I492" s="269">
        <f ca="1">IFERROR(__xludf.DUMMYFUNCTION("IMPORTRANGE(""https://docs.google.com/spreadsheets/d/1QqKyyYR6Q21VydFLVH3TRQUabQu_ym0Zz7PgGX0-kHA/edit?usp=sharing"",""แผน!GC81"")"),1)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8"/>
      <c r="I493" s="269"/>
      <c r="J493" s="269"/>
      <c r="K493" s="497"/>
      <c r="L493" s="497"/>
      <c r="M493" s="497"/>
      <c r="N493" s="497"/>
      <c r="O493" s="497"/>
      <c r="P493" s="497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207</v>
      </c>
      <c r="F494" s="625"/>
      <c r="G494" s="761"/>
      <c r="H494" s="188"/>
      <c r="I494" s="269"/>
      <c r="J494" s="269"/>
      <c r="K494" s="497"/>
      <c r="L494" s="497"/>
      <c r="M494" s="497"/>
      <c r="N494" s="497"/>
      <c r="O494" s="497"/>
      <c r="P494" s="497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215</v>
      </c>
      <c r="G495" s="761"/>
      <c r="H495" s="622" t="s">
        <v>46</v>
      </c>
      <c r="I495" s="269">
        <f ca="1">IFERROR(__xludf.DUMMYFUNCTION("IMPORTRANGE(""https://docs.google.com/spreadsheets/d/1QqKyyYR6Q21VydFLVH3TRQUabQu_ym0Zz7PgGX0-kHA/edit?usp=sharing"",""แผน!FY81"")"),360)</f>
        <v>360</v>
      </c>
      <c r="J495" s="214">
        <v>360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216</v>
      </c>
      <c r="G496" s="761"/>
      <c r="H496" s="622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8"/>
      <c r="I497" s="269"/>
      <c r="J497" s="269"/>
      <c r="K497" s="497"/>
      <c r="L497" s="497"/>
      <c r="M497" s="497"/>
      <c r="N497" s="497"/>
      <c r="O497" s="497"/>
      <c r="P497" s="497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217</v>
      </c>
      <c r="G498" s="761"/>
      <c r="H498" s="622" t="s">
        <v>46</v>
      </c>
      <c r="I498" s="269">
        <f ca="1">IFERROR(__xludf.DUMMYFUNCTION("IMPORTRANGE(""https://docs.google.com/spreadsheets/d/1QqKyyYR6Q21VydFLVH3TRQUabQu_ym0Zz7PgGX0-kHA/edit?usp=sharing"",""แผน!GA81"")"),40)</f>
        <v>40</v>
      </c>
      <c r="J498" s="214">
        <v>40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218</v>
      </c>
      <c r="G499" s="761"/>
      <c r="H499" s="622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219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>J516</f>
        <v>0</v>
      </c>
      <c r="K500" s="633">
        <f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220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>J517</f>
        <v>0</v>
      </c>
      <c r="K501" s="642">
        <f>IF(I501&gt;0,J501*100/I501,0)</f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92" t="s">
        <v>17</v>
      </c>
      <c r="E502" s="888"/>
      <c r="F502" s="888"/>
      <c r="G502" s="602"/>
      <c r="H502" s="645" t="s">
        <v>12</v>
      </c>
      <c r="I502" s="616"/>
      <c r="J502" s="616"/>
      <c r="K502" s="92"/>
      <c r="L502" s="646">
        <f>L503+L504</f>
        <v>0</v>
      </c>
      <c r="M502" s="646">
        <f>M503+M504</f>
        <v>0</v>
      </c>
      <c r="N502" s="646">
        <f>N503+N504</f>
        <v>0</v>
      </c>
      <c r="O502" s="646">
        <f t="shared" ref="O502:O507" si="81">IF(L502&gt;0,N502*100/L502,0)</f>
        <v>0</v>
      </c>
      <c r="P502" s="646">
        <f t="shared" ref="P502:P507" si="82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184</v>
      </c>
      <c r="F503" s="758"/>
      <c r="G503" s="602"/>
      <c r="H503" s="164" t="s">
        <v>12</v>
      </c>
      <c r="I503" s="616"/>
      <c r="J503" s="616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185</v>
      </c>
      <c r="F504" s="758"/>
      <c r="G504" s="602"/>
      <c r="H504" s="164" t="s">
        <v>12</v>
      </c>
      <c r="I504" s="616"/>
      <c r="J504" s="616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184</v>
      </c>
      <c r="F506" s="758"/>
      <c r="G506" s="602"/>
      <c r="H506" s="164" t="s">
        <v>12</v>
      </c>
      <c r="I506" s="616"/>
      <c r="J506" s="616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185</v>
      </c>
      <c r="F507" s="758"/>
      <c r="G507" s="602"/>
      <c r="H507" s="164" t="s">
        <v>12</v>
      </c>
      <c r="I507" s="616"/>
      <c r="J507" s="616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186</v>
      </c>
      <c r="G508" s="602"/>
      <c r="H508" s="164" t="s">
        <v>12</v>
      </c>
      <c r="I508" s="616"/>
      <c r="J508" s="616"/>
      <c r="K508" s="92"/>
      <c r="L508" s="92"/>
      <c r="M508" s="92"/>
      <c r="N508" s="92">
        <v>0</v>
      </c>
      <c r="O508" s="92"/>
      <c r="P508" s="92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187</v>
      </c>
      <c r="G509" s="602"/>
      <c r="H509" s="164" t="s">
        <v>12</v>
      </c>
      <c r="I509" s="616"/>
      <c r="J509" s="616"/>
      <c r="K509" s="92"/>
      <c r="L509" s="92"/>
      <c r="M509" s="92"/>
      <c r="N509" s="92">
        <v>0</v>
      </c>
      <c r="O509" s="92"/>
      <c r="P509" s="92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188</v>
      </c>
      <c r="G510" s="602"/>
      <c r="H510" s="164" t="s">
        <v>12</v>
      </c>
      <c r="I510" s="616"/>
      <c r="J510" s="616"/>
      <c r="K510" s="92"/>
      <c r="L510" s="92"/>
      <c r="M510" s="92"/>
      <c r="N510" s="92">
        <v>0</v>
      </c>
      <c r="O510" s="92"/>
      <c r="P510" s="92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189</v>
      </c>
      <c r="G511" s="602"/>
      <c r="H511" s="164" t="s">
        <v>12</v>
      </c>
      <c r="I511" s="616"/>
      <c r="J511" s="616"/>
      <c r="K511" s="92"/>
      <c r="L511" s="92"/>
      <c r="M511" s="92"/>
      <c r="N511" s="92">
        <v>0</v>
      </c>
      <c r="O511" s="92"/>
      <c r="P511" s="92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42" t="s">
        <v>38</v>
      </c>
      <c r="E515" s="650"/>
      <c r="F515" s="650"/>
      <c r="G515" s="651"/>
      <c r="H515" s="365"/>
      <c r="I515" s="165"/>
      <c r="J515" s="165"/>
      <c r="K515" s="166"/>
      <c r="L515" s="166"/>
      <c r="M515" s="166"/>
      <c r="N515" s="166"/>
      <c r="O515" s="166"/>
      <c r="P515" s="166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221</v>
      </c>
      <c r="E516" s="719"/>
      <c r="F516" s="719"/>
      <c r="G516" s="365"/>
      <c r="H516" s="652" t="s">
        <v>109</v>
      </c>
      <c r="I516" s="616"/>
      <c r="J516" s="616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222</v>
      </c>
      <c r="E517" s="719"/>
      <c r="F517" s="719"/>
      <c r="G517" s="365"/>
      <c r="H517" s="653" t="s">
        <v>35</v>
      </c>
      <c r="I517" s="654"/>
      <c r="J517" s="654">
        <f>J518+J519</f>
        <v>0</v>
      </c>
      <c r="K517" s="655">
        <f>IF(I517&gt;0,J517*100/I517,0)</f>
        <v>0</v>
      </c>
      <c r="L517" s="166"/>
      <c r="M517" s="166"/>
      <c r="N517" s="166"/>
      <c r="O517" s="166"/>
      <c r="P517" s="166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223</v>
      </c>
      <c r="F518" s="719"/>
      <c r="G518" s="365"/>
      <c r="H518" s="369" t="s">
        <v>35</v>
      </c>
      <c r="I518" s="616"/>
      <c r="J518" s="616"/>
      <c r="K518" s="166"/>
      <c r="L518" s="166"/>
      <c r="M518" s="166"/>
      <c r="N518" s="166"/>
      <c r="O518" s="166"/>
      <c r="P518" s="166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224</v>
      </c>
      <c r="F519" s="719"/>
      <c r="G519" s="365"/>
      <c r="H519" s="652" t="s">
        <v>35</v>
      </c>
      <c r="I519" s="616"/>
      <c r="J519" s="616"/>
      <c r="K519" s="166"/>
      <c r="L519" s="166"/>
      <c r="M519" s="166"/>
      <c r="N519" s="166"/>
      <c r="O519" s="166"/>
      <c r="P519" s="166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225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226</v>
      </c>
      <c r="C522" s="672"/>
      <c r="D522" s="672"/>
      <c r="E522" s="672"/>
      <c r="F522" s="672"/>
      <c r="G522" s="673"/>
      <c r="H522" s="674" t="s">
        <v>35</v>
      </c>
      <c r="I522" s="707">
        <f ca="1">I537</f>
        <v>0</v>
      </c>
      <c r="J522" s="707">
        <f ca="1">J537</f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87" t="s">
        <v>17</v>
      </c>
      <c r="E523" s="888"/>
      <c r="F523" s="888"/>
      <c r="G523" s="188"/>
      <c r="H523" s="597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184</v>
      </c>
      <c r="F524" s="758"/>
      <c r="G524" s="602"/>
      <c r="H524" s="164" t="s">
        <v>12</v>
      </c>
      <c r="I524" s="616"/>
      <c r="J524" s="616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185</v>
      </c>
      <c r="F525" s="758"/>
      <c r="G525" s="602"/>
      <c r="H525" s="164" t="s">
        <v>12</v>
      </c>
      <c r="I525" s="616"/>
      <c r="J525" s="616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184</v>
      </c>
      <c r="F527" s="758"/>
      <c r="G527" s="602"/>
      <c r="H527" s="164" t="s">
        <v>12</v>
      </c>
      <c r="I527" s="616"/>
      <c r="J527" s="616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185</v>
      </c>
      <c r="F528" s="758"/>
      <c r="G528" s="602"/>
      <c r="H528" s="164" t="s">
        <v>12</v>
      </c>
      <c r="I528" s="616"/>
      <c r="J528" s="616"/>
      <c r="K528" s="92"/>
      <c r="L528" s="92">
        <f ca="1">IFERROR(__xludf.DUMMYFUNCTION("IMPORTRANGE(""https://docs.google.com/spreadsheets/d/1QqKyyYR6Q21VydFLVH3TRQUabQu_ym0Zz7PgGX0-kHA/edit?usp=sharing"",""แผน!GQ81"")"),0)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826">
        <v>0</v>
      </c>
      <c r="O529" s="497"/>
      <c r="P529" s="497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826">
        <v>0</v>
      </c>
      <c r="O530" s="497"/>
      <c r="P530" s="497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826">
        <v>0</v>
      </c>
      <c r="O531" s="497"/>
      <c r="P531" s="497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826">
        <v>0</v>
      </c>
      <c r="O532" s="497"/>
      <c r="P532" s="497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IFERROR(__xludf.DUMMYFUNCTION("IMPORTRANGE(""https://docs.google.com/spreadsheets/d/1QqKyyYR6Q21VydFLVH3TRQUabQu_ym0Zz7PgGX0-kHA/edit?usp=sharing"",""แผน!GT81"")"),0)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41" t="s">
        <v>38</v>
      </c>
      <c r="E536" s="760"/>
      <c r="F536" s="760"/>
      <c r="G536" s="612"/>
      <c r="H536" s="761"/>
      <c r="I536" s="183"/>
      <c r="J536" s="183"/>
      <c r="K536" s="162"/>
      <c r="L536" s="162"/>
      <c r="M536" s="162"/>
      <c r="N536" s="162"/>
      <c r="O536" s="162"/>
      <c r="P536" s="162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227</v>
      </c>
      <c r="E537" s="762"/>
      <c r="F537" s="762"/>
      <c r="G537" s="188"/>
      <c r="H537" s="622" t="s">
        <v>35</v>
      </c>
      <c r="I537" s="680">
        <f ca="1">IFERROR(__xludf.DUMMYFUNCTION("IMPORTRANGE(""https://docs.google.com/spreadsheets/d/1QqKyyYR6Q21VydFLVH3TRQUabQu_ym0Zz7PgGX0-kHA/edit?usp=sharing"",""แผน!GU81"")"),0)</f>
        <v>0</v>
      </c>
      <c r="J537" s="680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228</v>
      </c>
      <c r="F538" s="762"/>
      <c r="G538" s="188"/>
      <c r="H538" s="622" t="s">
        <v>35</v>
      </c>
      <c r="I538" s="269">
        <f ca="1">IFERROR(__xludf.DUMMYFUNCTION("IMPORTRANGE(""https://docs.google.com/spreadsheets/d/1QqKyyYR6Q21VydFLVH3TRQUabQu_ym0Zz7PgGX0-kHA/edit?usp=sharing"",""แผน!GV81"")"),0)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229</v>
      </c>
      <c r="F539" s="762"/>
      <c r="G539" s="188"/>
      <c r="H539" s="622" t="s">
        <v>35</v>
      </c>
      <c r="I539" s="269">
        <f ca="1">IFERROR(__xludf.DUMMYFUNCTION("IMPORTRANGE(""https://docs.google.com/spreadsheets/d/1QqKyyYR6Q21VydFLVH3TRQUabQu_ym0Zz7PgGX0-kHA/edit?usp=sharing"",""แผน!GW81"")"),0)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230</v>
      </c>
      <c r="F540" s="762"/>
      <c r="G540" s="188"/>
      <c r="H540" s="622" t="s">
        <v>35</v>
      </c>
      <c r="I540" s="269">
        <f ca="1">IFERROR(__xludf.DUMMYFUNCTION("IMPORTRANGE(""https://docs.google.com/spreadsheets/d/1QqKyyYR6Q21VydFLVH3TRQUabQu_ym0Zz7PgGX0-kHA/edit?usp=sharing"",""แผน!GX81"")"),0)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231</v>
      </c>
      <c r="F541" s="762"/>
      <c r="G541" s="188"/>
      <c r="H541" s="622" t="s">
        <v>35</v>
      </c>
      <c r="I541" s="269">
        <f ca="1">IFERROR(__xludf.DUMMYFUNCTION("IMPORTRANGE(""https://docs.google.com/spreadsheets/d/1QqKyyYR6Q21VydFLVH3TRQUabQu_ym0Zz7PgGX0-kHA/edit?usp=sharing"",""แผน!GY81"")"),0)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8"/>
      <c r="H542" s="622" t="s">
        <v>35</v>
      </c>
      <c r="I542" s="269">
        <f ca="1">IFERROR(__xludf.DUMMYFUNCTION("IMPORTRANGE(""https://docs.google.com/spreadsheets/d/1QqKyyYR6Q21VydFLVH3TRQUabQu_ym0Zz7PgGX0-kHA/edit?usp=sharing"",""แผน!GZ81"")"),0)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232</v>
      </c>
      <c r="C543" s="666"/>
      <c r="D543" s="666"/>
      <c r="E543" s="666"/>
      <c r="F543" s="666"/>
      <c r="G543" s="667"/>
      <c r="H543" s="685" t="s">
        <v>46</v>
      </c>
      <c r="I543" s="686">
        <f ca="1">I559</f>
        <v>2360.0450000000001</v>
      </c>
      <c r="J543" s="686">
        <f>J559</f>
        <v>2360.0450000000001</v>
      </c>
      <c r="K543" s="687">
        <f t="shared" ca="1" si="87"/>
        <v>100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911" t="s">
        <v>17</v>
      </c>
      <c r="E544" s="890"/>
      <c r="F544" s="890"/>
      <c r="G544" s="690"/>
      <c r="H544" s="274" t="s">
        <v>12</v>
      </c>
      <c r="I544" s="420"/>
      <c r="J544" s="420"/>
      <c r="K544" s="153"/>
      <c r="L544" s="154">
        <f ca="1">L545+L546</f>
        <v>236743</v>
      </c>
      <c r="M544" s="154">
        <f ca="1">M545+M546</f>
        <v>233958.32</v>
      </c>
      <c r="N544" s="154">
        <f>N545+N546</f>
        <v>233958.32</v>
      </c>
      <c r="O544" s="154">
        <f t="shared" ref="O544:O549" ca="1" si="88">IF(L544&gt;0,N544*100/L544,0)</f>
        <v>98.823754028630205</v>
      </c>
      <c r="P544" s="154">
        <f t="shared" ref="P544:P549" ca="1" si="89">IF(M544&gt;0,N544*100/M544,0)</f>
        <v>100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184</v>
      </c>
      <c r="F545" s="758"/>
      <c r="G545" s="602"/>
      <c r="H545" s="164" t="s">
        <v>12</v>
      </c>
      <c r="I545" s="616"/>
      <c r="J545" s="616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185</v>
      </c>
      <c r="F546" s="758"/>
      <c r="G546" s="602"/>
      <c r="H546" s="164" t="s">
        <v>12</v>
      </c>
      <c r="I546" s="616"/>
      <c r="J546" s="616"/>
      <c r="K546" s="92"/>
      <c r="L546" s="92">
        <f ca="1">L549+L557</f>
        <v>236743</v>
      </c>
      <c r="M546" s="92">
        <f ca="1">M549+M556</f>
        <v>233958.32</v>
      </c>
      <c r="N546" s="92">
        <f>N549+N556</f>
        <v>233958.32</v>
      </c>
      <c r="O546" s="92">
        <f t="shared" ca="1" si="88"/>
        <v>98.823754028630205</v>
      </c>
      <c r="P546" s="92">
        <f t="shared" ca="1" si="89"/>
        <v>100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8"/>
      <c r="H547" s="160" t="s">
        <v>12</v>
      </c>
      <c r="I547" s="183"/>
      <c r="J547" s="183"/>
      <c r="K547" s="162"/>
      <c r="L547" s="497">
        <f ca="1">L548+L549</f>
        <v>236743</v>
      </c>
      <c r="M547" s="497">
        <f ca="1">M548+M549</f>
        <v>233958.32</v>
      </c>
      <c r="N547" s="497">
        <f>N548+N549</f>
        <v>233958.32</v>
      </c>
      <c r="O547" s="497">
        <f t="shared" ca="1" si="88"/>
        <v>98.823754028630205</v>
      </c>
      <c r="P547" s="497">
        <f t="shared" ca="1" si="89"/>
        <v>100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184</v>
      </c>
      <c r="F548" s="758"/>
      <c r="G548" s="602"/>
      <c r="H548" s="164" t="s">
        <v>12</v>
      </c>
      <c r="I548" s="616"/>
      <c r="J548" s="616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185</v>
      </c>
      <c r="F549" s="758"/>
      <c r="G549" s="602"/>
      <c r="H549" s="164" t="s">
        <v>12</v>
      </c>
      <c r="I549" s="616"/>
      <c r="J549" s="616"/>
      <c r="K549" s="92"/>
      <c r="L549" s="92">
        <f ca="1">IFERROR(__xludf.DUMMYFUNCTION("IMPORTRANGE(""https://docs.google.com/spreadsheets/d/1QqKyyYR6Q21VydFLVH3TRQUabQu_ym0Zz7PgGX0-kHA/edit?usp=sharing"",""แผน!HB81"")"),236743)</f>
        <v>236743</v>
      </c>
      <c r="M549" s="92">
        <f ca="1">L549-2784.68</f>
        <v>233958.32</v>
      </c>
      <c r="N549" s="92">
        <f>N550+N551+N552+N553+N554</f>
        <v>233958.32</v>
      </c>
      <c r="O549" s="92">
        <f t="shared" ca="1" si="88"/>
        <v>98.823754028630205</v>
      </c>
      <c r="P549" s="92">
        <f t="shared" ca="1" si="89"/>
        <v>100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826">
        <v>0</v>
      </c>
      <c r="O550" s="497"/>
      <c r="P550" s="497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826">
        <v>0</v>
      </c>
      <c r="O551" s="497"/>
      <c r="P551" s="497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826">
        <v>140835</v>
      </c>
      <c r="O552" s="497"/>
      <c r="P552" s="497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826">
        <v>93123.32</v>
      </c>
      <c r="O553" s="497"/>
      <c r="P553" s="497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826">
        <v>0</v>
      </c>
      <c r="O554" s="497"/>
      <c r="P554" s="497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IFERROR(__xludf.DUMMYFUNCTION("IMPORTRANGE(""https://docs.google.com/spreadsheets/d/1QqKyyYR6Q21VydFLVH3TRQUabQu_ym0Zz7PgGX0-kHA/edit?usp=sharing"",""แผน!HF81"")"),0)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41" t="s">
        <v>38</v>
      </c>
      <c r="E558" s="760"/>
      <c r="F558" s="760"/>
      <c r="G558" s="612"/>
      <c r="H558" s="761"/>
      <c r="I558" s="183"/>
      <c r="J558" s="183"/>
      <c r="K558" s="162"/>
      <c r="L558" s="162"/>
      <c r="M558" s="162"/>
      <c r="N558" s="162"/>
      <c r="O558" s="162"/>
      <c r="P558" s="162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234</v>
      </c>
      <c r="C559" s="693"/>
      <c r="D559" s="693"/>
      <c r="E559" s="672"/>
      <c r="F559" s="672"/>
      <c r="G559" s="673"/>
      <c r="H559" s="694" t="s">
        <v>46</v>
      </c>
      <c r="I559" s="707">
        <f ca="1">I576</f>
        <v>2360.0450000000001</v>
      </c>
      <c r="J559" s="707">
        <f>J576</f>
        <v>2360.0450000000001</v>
      </c>
      <c r="K559" s="676">
        <f ca="1">IF(I559&gt;0,J559*100/I559,0)</f>
        <v>100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235</v>
      </c>
      <c r="D560" s="617"/>
      <c r="E560" s="625"/>
      <c r="F560" s="625"/>
      <c r="G560" s="761"/>
      <c r="H560" s="766" t="s">
        <v>46</v>
      </c>
      <c r="I560" s="192">
        <f ca="1">IFERROR(__xludf.DUMMYFUNCTION("IMPORTRANGE(""https://docs.google.com/spreadsheets/d/1QqKyyYR6Q21VydFLVH3TRQUabQu_ym0Zz7PgGX0-kHA/edit?usp=sharing"",""แผน!HH81"")"),2360.045)</f>
        <v>2360.0450000000001</v>
      </c>
      <c r="J560" s="192">
        <f>J562+J564+J566</f>
        <v>2360</v>
      </c>
      <c r="K560" s="411">
        <f ca="1">IF(I560&gt;0,J560*100/I560,0)</f>
        <v>99.998093256696379</v>
      </c>
      <c r="L560" s="162"/>
      <c r="M560" s="162"/>
      <c r="N560" s="162"/>
      <c r="O560" s="162"/>
      <c r="P560" s="162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2">
        <f ca="1">IFERROR(__xludf.DUMMYFUNCTION("IMPORTRANGE(""https://docs.google.com/spreadsheets/d/1QqKyyYR6Q21VydFLVH3TRQUabQu_ym0Zz7PgGX0-kHA/edit?usp=sharing"",""แผน!HG81"")"),339)</f>
        <v>339</v>
      </c>
      <c r="J561" s="192">
        <f>J563+J565+J567</f>
        <v>339</v>
      </c>
      <c r="K561" s="411">
        <f ca="1">IF(I561&gt;0,J561*100/I561,0)</f>
        <v>100</v>
      </c>
      <c r="L561" s="162"/>
      <c r="M561" s="162"/>
      <c r="N561" s="162"/>
      <c r="O561" s="162"/>
      <c r="P561" s="162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236</v>
      </c>
      <c r="E562" s="625"/>
      <c r="F562" s="625"/>
      <c r="G562" s="761"/>
      <c r="H562" s="763" t="s">
        <v>46</v>
      </c>
      <c r="I562" s="183"/>
      <c r="J562" s="214">
        <v>2089</v>
      </c>
      <c r="K562" s="162"/>
      <c r="L562" s="162"/>
      <c r="M562" s="162"/>
      <c r="N562" s="162"/>
      <c r="O562" s="162"/>
      <c r="P562" s="162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3"/>
      <c r="J563" s="214">
        <v>276</v>
      </c>
      <c r="K563" s="162"/>
      <c r="L563" s="162"/>
      <c r="M563" s="162"/>
      <c r="N563" s="162"/>
      <c r="O563" s="162"/>
      <c r="P563" s="162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237</v>
      </c>
      <c r="E564" s="625"/>
      <c r="F564" s="625"/>
      <c r="G564" s="761"/>
      <c r="H564" s="763" t="s">
        <v>46</v>
      </c>
      <c r="I564" s="183"/>
      <c r="J564" s="214">
        <v>199</v>
      </c>
      <c r="K564" s="162"/>
      <c r="L564" s="162"/>
      <c r="M564" s="162"/>
      <c r="N564" s="162"/>
      <c r="O564" s="162"/>
      <c r="P564" s="162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3"/>
      <c r="J565" s="214">
        <v>53</v>
      </c>
      <c r="K565" s="162"/>
      <c r="L565" s="162"/>
      <c r="M565" s="162"/>
      <c r="N565" s="162"/>
      <c r="O565" s="162"/>
      <c r="P565" s="162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238</v>
      </c>
      <c r="E566" s="625"/>
      <c r="F566" s="625"/>
      <c r="G566" s="761"/>
      <c r="H566" s="763" t="s">
        <v>46</v>
      </c>
      <c r="I566" s="183"/>
      <c r="J566" s="214">
        <v>72</v>
      </c>
      <c r="K566" s="162"/>
      <c r="L566" s="162"/>
      <c r="M566" s="162"/>
      <c r="N566" s="162"/>
      <c r="O566" s="162"/>
      <c r="P566" s="162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3"/>
      <c r="J567" s="214">
        <v>10</v>
      </c>
      <c r="K567" s="162"/>
      <c r="L567" s="162"/>
      <c r="M567" s="162"/>
      <c r="N567" s="162"/>
      <c r="O567" s="162"/>
      <c r="P567" s="162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239</v>
      </c>
      <c r="D568" s="625"/>
      <c r="E568" s="625"/>
      <c r="F568" s="625"/>
      <c r="G568" s="761"/>
      <c r="H568" s="766" t="s">
        <v>46</v>
      </c>
      <c r="I568" s="192">
        <f ca="1">IFERROR(__xludf.DUMMYFUNCTION("IMPORTRANGE(""https://docs.google.com/spreadsheets/d/1QqKyyYR6Q21VydFLVH3TRQUabQu_ym0Zz7PgGX0-kHA/edit?usp=sharing"",""แผน!HH81"")"),2360.045)</f>
        <v>2360.0450000000001</v>
      </c>
      <c r="J568" s="680">
        <f>J570+J572+J574</f>
        <v>2360</v>
      </c>
      <c r="K568" s="411">
        <f ca="1">IF(I568&gt;0,J568*100/I568,0)</f>
        <v>99.998093256696379</v>
      </c>
      <c r="L568" s="162"/>
      <c r="M568" s="162"/>
      <c r="N568" s="162"/>
      <c r="O568" s="162"/>
      <c r="P568" s="162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2">
        <f ca="1">IFERROR(__xludf.DUMMYFUNCTION("IMPORTRANGE(""https://docs.google.com/spreadsheets/d/1QqKyyYR6Q21VydFLVH3TRQUabQu_ym0Zz7PgGX0-kHA/edit?usp=sharing"",""แผน!HG81"")"),339)</f>
        <v>339</v>
      </c>
      <c r="J569" s="680">
        <f>J571+J573+J575</f>
        <v>339</v>
      </c>
      <c r="K569" s="411">
        <f ca="1">IF(I569&gt;0,J569*100/I569,0)</f>
        <v>100</v>
      </c>
      <c r="L569" s="162"/>
      <c r="M569" s="162"/>
      <c r="N569" s="162"/>
      <c r="O569" s="162"/>
      <c r="P569" s="162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240</v>
      </c>
      <c r="E570" s="617"/>
      <c r="F570" s="625"/>
      <c r="G570" s="761"/>
      <c r="H570" s="763" t="s">
        <v>46</v>
      </c>
      <c r="I570" s="183"/>
      <c r="J570" s="214">
        <v>2103</v>
      </c>
      <c r="K570" s="162"/>
      <c r="L570" s="162"/>
      <c r="M570" s="162"/>
      <c r="N570" s="162"/>
      <c r="O570" s="162"/>
      <c r="P570" s="162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3"/>
      <c r="J571" s="214">
        <v>278</v>
      </c>
      <c r="K571" s="162"/>
      <c r="L571" s="162"/>
      <c r="M571" s="162"/>
      <c r="N571" s="162"/>
      <c r="O571" s="162"/>
      <c r="P571" s="162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241</v>
      </c>
      <c r="E572" s="625"/>
      <c r="F572" s="625"/>
      <c r="G572" s="761"/>
      <c r="H572" s="763" t="s">
        <v>46</v>
      </c>
      <c r="I572" s="183"/>
      <c r="J572" s="214">
        <v>185</v>
      </c>
      <c r="K572" s="162"/>
      <c r="L572" s="162"/>
      <c r="M572" s="162"/>
      <c r="N572" s="162"/>
      <c r="O572" s="162"/>
      <c r="P572" s="162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3"/>
      <c r="J573" s="214">
        <v>51</v>
      </c>
      <c r="K573" s="162"/>
      <c r="L573" s="162"/>
      <c r="M573" s="162"/>
      <c r="N573" s="162"/>
      <c r="O573" s="162"/>
      <c r="P573" s="162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242</v>
      </c>
      <c r="E574" s="625"/>
      <c r="F574" s="625"/>
      <c r="G574" s="761"/>
      <c r="H574" s="763" t="s">
        <v>46</v>
      </c>
      <c r="I574" s="183"/>
      <c r="J574" s="214">
        <v>72</v>
      </c>
      <c r="K574" s="162"/>
      <c r="L574" s="162"/>
      <c r="M574" s="162"/>
      <c r="N574" s="162"/>
      <c r="O574" s="162"/>
      <c r="P574" s="162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3"/>
      <c r="J575" s="214">
        <v>10</v>
      </c>
      <c r="K575" s="162"/>
      <c r="L575" s="162"/>
      <c r="M575" s="162"/>
      <c r="N575" s="162"/>
      <c r="O575" s="162"/>
      <c r="P575" s="162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243</v>
      </c>
      <c r="D576" s="617"/>
      <c r="E576" s="617"/>
      <c r="F576" s="625"/>
      <c r="G576" s="761"/>
      <c r="H576" s="766" t="s">
        <v>46</v>
      </c>
      <c r="I576" s="192">
        <f ca="1">IFERROR(__xludf.DUMMYFUNCTION("IMPORTRANGE(""https://docs.google.com/spreadsheets/d/1QqKyyYR6Q21VydFLVH3TRQUabQu_ym0Zz7PgGX0-kHA/edit?usp=sharing"",""แผน!HH81"")"),2360.045)</f>
        <v>2360.0450000000001</v>
      </c>
      <c r="J576" s="680">
        <f>J578+J580+J582+J588+J590</f>
        <v>2360.0450000000001</v>
      </c>
      <c r="K576" s="411">
        <f ca="1">IF(I576&gt;0,J576*100/I576,0)</f>
        <v>100</v>
      </c>
      <c r="L576" s="162"/>
      <c r="M576" s="162"/>
      <c r="N576" s="162"/>
      <c r="O576" s="162"/>
      <c r="P576" s="162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2">
        <f ca="1">IFERROR(__xludf.DUMMYFUNCTION("IMPORTRANGE(""https://docs.google.com/spreadsheets/d/1QqKyyYR6Q21VydFLVH3TRQUabQu_ym0Zz7PgGX0-kHA/edit?usp=sharing"",""แผน!HG81"")"),339)</f>
        <v>339</v>
      </c>
      <c r="J577" s="680">
        <f>J579+J581+J583+J589+J591</f>
        <v>339</v>
      </c>
      <c r="K577" s="411">
        <f ca="1">IF(I577&gt;0,J577*100/I577,0)</f>
        <v>100</v>
      </c>
      <c r="L577" s="162"/>
      <c r="M577" s="162"/>
      <c r="N577" s="162"/>
      <c r="O577" s="162"/>
      <c r="P577" s="162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244</v>
      </c>
      <c r="E578" s="625"/>
      <c r="F578" s="625"/>
      <c r="G578" s="761"/>
      <c r="H578" s="763" t="s">
        <v>46</v>
      </c>
      <c r="I578" s="183"/>
      <c r="J578" s="214">
        <v>2194.9</v>
      </c>
      <c r="K578" s="162"/>
      <c r="L578" s="162"/>
      <c r="M578" s="162"/>
      <c r="N578" s="162"/>
      <c r="O578" s="162"/>
      <c r="P578" s="162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3"/>
      <c r="J579" s="214">
        <v>301</v>
      </c>
      <c r="K579" s="162"/>
      <c r="L579" s="162"/>
      <c r="M579" s="162"/>
      <c r="N579" s="162"/>
      <c r="O579" s="162"/>
      <c r="P579" s="162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245</v>
      </c>
      <c r="E580" s="625"/>
      <c r="F580" s="625"/>
      <c r="G580" s="761"/>
      <c r="H580" s="763" t="s">
        <v>46</v>
      </c>
      <c r="I580" s="183"/>
      <c r="J580" s="214">
        <v>11.3475</v>
      </c>
      <c r="K580" s="162"/>
      <c r="L580" s="162"/>
      <c r="M580" s="162"/>
      <c r="N580" s="162"/>
      <c r="O580" s="162"/>
      <c r="P580" s="162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3"/>
      <c r="J581" s="214">
        <v>2</v>
      </c>
      <c r="K581" s="162"/>
      <c r="L581" s="162"/>
      <c r="M581" s="162"/>
      <c r="N581" s="162"/>
      <c r="O581" s="162"/>
      <c r="P581" s="162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246</v>
      </c>
      <c r="E582" s="625"/>
      <c r="F582" s="625"/>
      <c r="G582" s="761"/>
      <c r="H582" s="763" t="s">
        <v>46</v>
      </c>
      <c r="I582" s="183"/>
      <c r="J582" s="680">
        <f>J584+J586</f>
        <v>107.69499999999999</v>
      </c>
      <c r="K582" s="411"/>
      <c r="L582" s="162"/>
      <c r="M582" s="162"/>
      <c r="N582" s="162"/>
      <c r="O582" s="162"/>
      <c r="P582" s="162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3"/>
      <c r="J583" s="680">
        <f>J585+J587</f>
        <v>13</v>
      </c>
      <c r="K583" s="411"/>
      <c r="L583" s="162"/>
      <c r="M583" s="162"/>
      <c r="N583" s="162"/>
      <c r="O583" s="162"/>
      <c r="P583" s="162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247</v>
      </c>
      <c r="F584" s="625"/>
      <c r="G584" s="761"/>
      <c r="H584" s="763" t="s">
        <v>46</v>
      </c>
      <c r="I584" s="183"/>
      <c r="J584" s="214">
        <v>107.69499999999999</v>
      </c>
      <c r="K584" s="162"/>
      <c r="L584" s="162"/>
      <c r="M584" s="162"/>
      <c r="N584" s="162"/>
      <c r="O584" s="162"/>
      <c r="P584" s="162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3"/>
      <c r="J585" s="214">
        <v>13</v>
      </c>
      <c r="K585" s="162"/>
      <c r="L585" s="162"/>
      <c r="M585" s="162"/>
      <c r="N585" s="162"/>
      <c r="O585" s="162"/>
      <c r="P585" s="162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248</v>
      </c>
      <c r="F586" s="625"/>
      <c r="G586" s="761"/>
      <c r="H586" s="763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249</v>
      </c>
      <c r="E588" s="625"/>
      <c r="F588" s="625"/>
      <c r="G588" s="761"/>
      <c r="H588" s="763" t="s">
        <v>46</v>
      </c>
      <c r="I588" s="183"/>
      <c r="J588" s="214">
        <v>46.102499999999999</v>
      </c>
      <c r="K588" s="162"/>
      <c r="L588" s="162"/>
      <c r="M588" s="162"/>
      <c r="N588" s="162"/>
      <c r="O588" s="162"/>
      <c r="P588" s="162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3"/>
      <c r="J589" s="214">
        <v>23</v>
      </c>
      <c r="K589" s="162"/>
      <c r="L589" s="162"/>
      <c r="M589" s="162"/>
      <c r="N589" s="162"/>
      <c r="O589" s="162"/>
      <c r="P589" s="162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250</v>
      </c>
      <c r="E590" s="625"/>
      <c r="F590" s="625"/>
      <c r="G590" s="761"/>
      <c r="H590" s="763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251</v>
      </c>
      <c r="C592" s="693"/>
      <c r="D592" s="693"/>
      <c r="E592" s="672"/>
      <c r="F592" s="672"/>
      <c r="G592" s="673"/>
      <c r="H592" s="694" t="s">
        <v>46</v>
      </c>
      <c r="I592" s="702">
        <f ca="1">I593</f>
        <v>217.49</v>
      </c>
      <c r="J592" s="707">
        <f>J593</f>
        <v>66.704999999999998</v>
      </c>
      <c r="K592" s="676">
        <f ca="1">IF(I592&gt;0,J592*100/I592,0)</f>
        <v>30.670375649455146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252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IFERROR(__xludf.DUMMYFUNCTION("IMPORTRANGE(""https://docs.google.com/spreadsheets/d/1QqKyyYR6Q21VydFLVH3TRQUabQu_ym0Zz7PgGX0-kHA/edit?usp=sharing"",""แผน!HJ81"")"),217.49)</f>
        <v>217.49</v>
      </c>
      <c r="J593" s="192">
        <f>J595+J603+J609</f>
        <v>66.704999999999998</v>
      </c>
      <c r="K593" s="411">
        <f ca="1">IF(I593&gt;0,J593*100/I593,0)</f>
        <v>30.670375649455146</v>
      </c>
      <c r="L593" s="162"/>
      <c r="M593" s="162"/>
      <c r="N593" s="162"/>
      <c r="O593" s="162"/>
      <c r="P593" s="162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2">
        <f ca="1">IFERROR(__xludf.DUMMYFUNCTION("IMPORTRANGE(""https://docs.google.com/spreadsheets/d/1QqKyyYR6Q21VydFLVH3TRQUabQu_ym0Zz7PgGX0-kHA/edit?usp=sharing"",""แผน!HI81"")"),29)</f>
        <v>29</v>
      </c>
      <c r="J594" s="192">
        <f>J596+J604+J610</f>
        <v>13</v>
      </c>
      <c r="K594" s="411">
        <f ca="1">IF(I594&gt;0,J594*100/I594,0)</f>
        <v>44.827586206896555</v>
      </c>
      <c r="L594" s="162"/>
      <c r="M594" s="162"/>
      <c r="N594" s="162"/>
      <c r="O594" s="162"/>
      <c r="P594" s="162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253</v>
      </c>
      <c r="D595" s="617"/>
      <c r="E595" s="617"/>
      <c r="F595" s="625"/>
      <c r="G595" s="761"/>
      <c r="H595" s="763" t="s">
        <v>46</v>
      </c>
      <c r="I595" s="183"/>
      <c r="J595" s="183">
        <f>J597+J599</f>
        <v>50.397500000000001</v>
      </c>
      <c r="K595" s="162"/>
      <c r="L595" s="162"/>
      <c r="M595" s="162"/>
      <c r="N595" s="162"/>
      <c r="O595" s="162"/>
      <c r="P595" s="162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3"/>
      <c r="J596" s="183">
        <f>J598+J600</f>
        <v>7</v>
      </c>
      <c r="K596" s="162"/>
      <c r="L596" s="162"/>
      <c r="M596" s="162"/>
      <c r="N596" s="162"/>
      <c r="O596" s="162"/>
      <c r="P596" s="162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254</v>
      </c>
      <c r="E597" s="625"/>
      <c r="F597" s="625"/>
      <c r="G597" s="761"/>
      <c r="H597" s="763" t="s">
        <v>46</v>
      </c>
      <c r="I597" s="183"/>
      <c r="J597" s="214">
        <v>50.397500000000001</v>
      </c>
      <c r="K597" s="162"/>
      <c r="L597" s="162"/>
      <c r="M597" s="162"/>
      <c r="N597" s="162"/>
      <c r="O597" s="162"/>
      <c r="P597" s="162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69"/>
      <c r="J598" s="214">
        <v>7</v>
      </c>
      <c r="K598" s="162"/>
      <c r="L598" s="162"/>
      <c r="M598" s="162"/>
      <c r="N598" s="162"/>
      <c r="O598" s="162"/>
      <c r="P598" s="162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255</v>
      </c>
      <c r="E599" s="625"/>
      <c r="F599" s="625"/>
      <c r="G599" s="761"/>
      <c r="H599" s="763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256</v>
      </c>
      <c r="E601" s="625"/>
      <c r="F601" s="625"/>
      <c r="G601" s="761"/>
      <c r="H601" s="763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257</v>
      </c>
      <c r="D603" s="617"/>
      <c r="E603" s="617"/>
      <c r="F603" s="625"/>
      <c r="G603" s="761"/>
      <c r="H603" s="763" t="s">
        <v>46</v>
      </c>
      <c r="I603" s="269"/>
      <c r="J603" s="269">
        <f>J605+J607</f>
        <v>0</v>
      </c>
      <c r="K603" s="162"/>
      <c r="L603" s="162"/>
      <c r="M603" s="162"/>
      <c r="N603" s="162"/>
      <c r="O603" s="162"/>
      <c r="P603" s="162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69"/>
      <c r="J604" s="269">
        <f>J606+J608</f>
        <v>0</v>
      </c>
      <c r="K604" s="162"/>
      <c r="L604" s="162"/>
      <c r="M604" s="162"/>
      <c r="N604" s="162"/>
      <c r="O604" s="162"/>
      <c r="P604" s="162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258</v>
      </c>
      <c r="E605" s="625"/>
      <c r="F605" s="625"/>
      <c r="G605" s="761"/>
      <c r="H605" s="763" t="s">
        <v>46</v>
      </c>
      <c r="I605" s="269"/>
      <c r="J605" s="214">
        <v>0</v>
      </c>
      <c r="K605" s="162"/>
      <c r="L605" s="162"/>
      <c r="M605" s="162"/>
      <c r="N605" s="162"/>
      <c r="O605" s="162"/>
      <c r="P605" s="162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69"/>
      <c r="J606" s="214">
        <v>0</v>
      </c>
      <c r="K606" s="162"/>
      <c r="L606" s="162"/>
      <c r="M606" s="162"/>
      <c r="N606" s="162"/>
      <c r="O606" s="162"/>
      <c r="P606" s="162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259</v>
      </c>
      <c r="E607" s="617"/>
      <c r="F607" s="625"/>
      <c r="G607" s="761"/>
      <c r="H607" s="763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260</v>
      </c>
      <c r="D609" s="617"/>
      <c r="E609" s="617"/>
      <c r="F609" s="625"/>
      <c r="G609" s="761"/>
      <c r="H609" s="763" t="s">
        <v>46</v>
      </c>
      <c r="I609" s="269"/>
      <c r="J609" s="214">
        <v>16.307500000000001</v>
      </c>
      <c r="K609" s="162"/>
      <c r="L609" s="162"/>
      <c r="M609" s="162"/>
      <c r="N609" s="162"/>
      <c r="O609" s="162"/>
      <c r="P609" s="162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69"/>
      <c r="J610" s="214">
        <v>6</v>
      </c>
      <c r="K610" s="162"/>
      <c r="L610" s="162"/>
      <c r="M610" s="162"/>
      <c r="N610" s="162"/>
      <c r="O610" s="162"/>
      <c r="P610" s="162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1"/>
      <c r="B611" s="705" t="s">
        <v>261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262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>J614+J616</f>
        <v>0</v>
      </c>
      <c r="K612" s="716">
        <f>IF(I612&gt;0,J612*100/I612,0)</f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263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>J615+J617</f>
        <v>0</v>
      </c>
      <c r="K613" s="716">
        <f>IF(I613&gt;0,J613*100/I613,0)</f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264</v>
      </c>
      <c r="E614" s="615"/>
      <c r="F614" s="719"/>
      <c r="G614" s="365"/>
      <c r="H614" s="369" t="s">
        <v>46</v>
      </c>
      <c r="I614" s="616"/>
      <c r="J614" s="616">
        <v>0</v>
      </c>
      <c r="K614" s="166"/>
      <c r="L614" s="166"/>
      <c r="M614" s="166"/>
      <c r="N614" s="166"/>
      <c r="O614" s="166"/>
      <c r="P614" s="166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5"/>
      <c r="H615" s="369" t="s">
        <v>34</v>
      </c>
      <c r="I615" s="616"/>
      <c r="J615" s="616">
        <v>0</v>
      </c>
      <c r="K615" s="166"/>
      <c r="L615" s="166"/>
      <c r="M615" s="166"/>
      <c r="N615" s="166"/>
      <c r="O615" s="166"/>
      <c r="P615" s="166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264</v>
      </c>
      <c r="E616" s="719"/>
      <c r="F616" s="719"/>
      <c r="G616" s="365"/>
      <c r="H616" s="369" t="s">
        <v>46</v>
      </c>
      <c r="I616" s="616"/>
      <c r="J616" s="616">
        <v>0</v>
      </c>
      <c r="K616" s="166"/>
      <c r="L616" s="166"/>
      <c r="M616" s="166"/>
      <c r="N616" s="166"/>
      <c r="O616" s="166"/>
      <c r="P616" s="166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5"/>
      <c r="H617" s="369" t="s">
        <v>34</v>
      </c>
      <c r="I617" s="616"/>
      <c r="J617" s="616">
        <v>0</v>
      </c>
      <c r="K617" s="166"/>
      <c r="L617" s="166"/>
      <c r="M617" s="166"/>
      <c r="N617" s="166"/>
      <c r="O617" s="166"/>
      <c r="P617" s="166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265</v>
      </c>
      <c r="E618" s="719"/>
      <c r="F618" s="719"/>
      <c r="G618" s="365"/>
      <c r="H618" s="369" t="s">
        <v>46</v>
      </c>
      <c r="I618" s="616"/>
      <c r="J618" s="616">
        <v>0</v>
      </c>
      <c r="K618" s="166"/>
      <c r="L618" s="166"/>
      <c r="M618" s="166"/>
      <c r="N618" s="166"/>
      <c r="O618" s="166"/>
      <c r="P618" s="166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5"/>
      <c r="H619" s="369" t="s">
        <v>34</v>
      </c>
      <c r="I619" s="616"/>
      <c r="J619" s="616">
        <v>0</v>
      </c>
      <c r="K619" s="166"/>
      <c r="L619" s="166"/>
      <c r="M619" s="166"/>
      <c r="N619" s="166"/>
      <c r="O619" s="166"/>
      <c r="P619" s="166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1"/>
      <c r="B620" s="730"/>
      <c r="C620" s="723" t="s">
        <v>266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IFERROR(__xludf.DUMMYFUNCTION("IMPORTRANGE(""https://docs.google.com/spreadsheets/d/1QqKyyYR6Q21VydFLVH3TRQUabQu_ym0Zz7PgGX0-kHA/edit?usp=sharing"",""แผน!HL81"")"),10)</f>
        <v>10</v>
      </c>
      <c r="J620" s="727">
        <f>J622+J624+J626</f>
        <v>10</v>
      </c>
      <c r="K620" s="728">
        <f ca="1">IF(I620&gt;0,J620*100/I620,0)</f>
        <v>100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1"/>
      <c r="B621" s="730"/>
      <c r="C621" s="730" t="s">
        <v>267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IFERROR(__xludf.DUMMYFUNCTION("IMPORTRANGE(""https://docs.google.com/spreadsheets/d/1QqKyyYR6Q21VydFLVH3TRQUabQu_ym0Zz7PgGX0-kHA/edit?usp=sharing"",""แผน!HK81"")"),1)</f>
        <v>1</v>
      </c>
      <c r="J621" s="727">
        <f>J623+J625+J627</f>
        <v>1</v>
      </c>
      <c r="K621" s="728">
        <f ca="1">IF(I621&gt;0,J621*100/I621,0)</f>
        <v>100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5" t="s">
        <v>268</v>
      </c>
      <c r="E622" s="625"/>
      <c r="F622" s="625"/>
      <c r="G622" s="761"/>
      <c r="H622" s="763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5" t="s">
        <v>264</v>
      </c>
      <c r="E624" s="625"/>
      <c r="F624" s="625"/>
      <c r="G624" s="761"/>
      <c r="H624" s="763" t="s">
        <v>46</v>
      </c>
      <c r="I624" s="269"/>
      <c r="J624" s="214">
        <v>10</v>
      </c>
      <c r="K624" s="162"/>
      <c r="L624" s="162"/>
      <c r="M624" s="162"/>
      <c r="N624" s="162"/>
      <c r="O624" s="162"/>
      <c r="P624" s="162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69"/>
      <c r="J625" s="214">
        <v>1</v>
      </c>
      <c r="K625" s="162"/>
      <c r="L625" s="162"/>
      <c r="M625" s="162"/>
      <c r="N625" s="162"/>
      <c r="O625" s="162"/>
      <c r="P625" s="162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5" t="s">
        <v>269</v>
      </c>
      <c r="E626" s="625"/>
      <c r="F626" s="625"/>
      <c r="G626" s="761"/>
      <c r="H626" s="763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1"/>
      <c r="B627" s="732"/>
      <c r="C627" s="732"/>
      <c r="D627" s="732"/>
      <c r="E627" s="733"/>
      <c r="F627" s="733"/>
      <c r="G627" s="734"/>
      <c r="H627" s="422" t="s">
        <v>34</v>
      </c>
      <c r="I627" s="505"/>
      <c r="J627" s="424">
        <v>0</v>
      </c>
      <c r="K627" s="384"/>
      <c r="L627" s="384"/>
      <c r="M627" s="384"/>
      <c r="N627" s="384"/>
      <c r="O627" s="384"/>
      <c r="P627" s="384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270</v>
      </c>
      <c r="C628" s="737"/>
      <c r="D628" s="737"/>
      <c r="E628" s="737"/>
      <c r="F628" s="737"/>
      <c r="G628" s="738"/>
      <c r="H628" s="739" t="s">
        <v>35</v>
      </c>
      <c r="I628" s="740">
        <f ca="1">I651</f>
        <v>0</v>
      </c>
      <c r="J628" s="740">
        <f ca="1">J651</f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87" t="s">
        <v>17</v>
      </c>
      <c r="E629" s="888"/>
      <c r="F629" s="888"/>
      <c r="G629" s="188"/>
      <c r="H629" s="597" t="s">
        <v>12</v>
      </c>
      <c r="I629" s="269"/>
      <c r="J629" s="269"/>
      <c r="K629" s="497"/>
      <c r="L629" s="194">
        <f ca="1">L630+L631</f>
        <v>0</v>
      </c>
      <c r="M629" s="194">
        <f>M630+M631</f>
        <v>0</v>
      </c>
      <c r="N629" s="194">
        <f>N630+N631</f>
        <v>0</v>
      </c>
      <c r="O629" s="194">
        <f t="shared" ref="O629:O634" ca="1" si="90">IF(L629&gt;0,N629*100/L629,0)</f>
        <v>0</v>
      </c>
      <c r="P629" s="194">
        <f t="shared" ref="P629:P634" si="91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184</v>
      </c>
      <c r="F630" s="758"/>
      <c r="G630" s="602"/>
      <c r="H630" s="164" t="s">
        <v>12</v>
      </c>
      <c r="I630" s="616"/>
      <c r="J630" s="616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185</v>
      </c>
      <c r="F631" s="758"/>
      <c r="G631" s="602"/>
      <c r="H631" s="164" t="s">
        <v>12</v>
      </c>
      <c r="I631" s="616"/>
      <c r="J631" s="616"/>
      <c r="K631" s="92"/>
      <c r="L631" s="92">
        <f t="shared" ca="1" si="92"/>
        <v>0</v>
      </c>
      <c r="M631" s="92">
        <f t="shared" si="92"/>
        <v>0</v>
      </c>
      <c r="N631" s="92">
        <f t="shared" si="92"/>
        <v>0</v>
      </c>
      <c r="O631" s="92">
        <f t="shared" ca="1" si="90"/>
        <v>0</v>
      </c>
      <c r="P631" s="92">
        <f t="shared" si="91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8"/>
      <c r="H632" s="160" t="s">
        <v>12</v>
      </c>
      <c r="I632" s="183"/>
      <c r="J632" s="183"/>
      <c r="K632" s="162"/>
      <c r="L632" s="497">
        <f ca="1">L633+L634</f>
        <v>0</v>
      </c>
      <c r="M632" s="497">
        <f>M633+M634</f>
        <v>0</v>
      </c>
      <c r="N632" s="497">
        <f>N633+N634</f>
        <v>0</v>
      </c>
      <c r="O632" s="497">
        <f t="shared" ca="1" si="90"/>
        <v>0</v>
      </c>
      <c r="P632" s="497">
        <f t="shared" si="91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184</v>
      </c>
      <c r="F633" s="758"/>
      <c r="G633" s="602"/>
      <c r="H633" s="164" t="s">
        <v>12</v>
      </c>
      <c r="I633" s="616"/>
      <c r="J633" s="616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185</v>
      </c>
      <c r="F634" s="758"/>
      <c r="G634" s="602"/>
      <c r="H634" s="164" t="s">
        <v>12</v>
      </c>
      <c r="I634" s="616"/>
      <c r="J634" s="616"/>
      <c r="K634" s="92"/>
      <c r="L634" s="92">
        <f ca="1">IFERROR(__xludf.DUMMYFUNCTION("IMPORTRANGE(""https://docs.google.com/spreadsheets/d/1QqKyyYR6Q21VydFLVH3TRQUabQu_ym0Zz7PgGX0-kHA/edit?usp=sharing"",""แผน!HN81"")"),0)</f>
        <v>0</v>
      </c>
      <c r="M634" s="92">
        <v>0</v>
      </c>
      <c r="N634" s="92">
        <f>N635+N636+N637+N638</f>
        <v>0</v>
      </c>
      <c r="O634" s="92">
        <f t="shared" ca="1" si="90"/>
        <v>0</v>
      </c>
      <c r="P634" s="92">
        <f t="shared" si="91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826">
        <v>0</v>
      </c>
      <c r="O635" s="497"/>
      <c r="P635" s="497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826">
        <v>0</v>
      </c>
      <c r="O636" s="497"/>
      <c r="P636" s="497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826">
        <v>0</v>
      </c>
      <c r="O637" s="497"/>
      <c r="P637" s="497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826">
        <v>0</v>
      </c>
      <c r="O638" s="497"/>
      <c r="P638" s="497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IFERROR(__xludf.DUMMYFUNCTION("IMPORTRANGE(""https://docs.google.com/spreadsheets/d/1QqKyyYR6Q21VydFLVH3TRQUabQu_ym0Zz7PgGX0-kHA/edit?usp=sharing"",""แผน!HQ81"")"),0)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41" t="s">
        <v>38</v>
      </c>
      <c r="E642" s="760"/>
      <c r="F642" s="760"/>
      <c r="G642" s="612"/>
      <c r="H642" s="761"/>
      <c r="I642" s="183"/>
      <c r="J642" s="183"/>
      <c r="K642" s="162"/>
      <c r="L642" s="162"/>
      <c r="M642" s="162"/>
      <c r="N642" s="162"/>
      <c r="O642" s="162"/>
      <c r="P642" s="162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271</v>
      </c>
      <c r="F643" s="625"/>
      <c r="G643" s="761"/>
      <c r="H643" s="763" t="s">
        <v>272</v>
      </c>
      <c r="I643" s="269">
        <f ca="1">IFERROR(__xludf.DUMMYFUNCTION("IMPORTRANGE(""https://docs.google.com/spreadsheets/d/1QqKyyYR6Q21VydFLVH3TRQUabQu_ym0Zz7PgGX0-kHA/edit?usp=sharing"",""แผน!HR81"")"),0)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273</v>
      </c>
      <c r="F644" s="625"/>
      <c r="G644" s="761"/>
      <c r="H644" s="763" t="s">
        <v>274</v>
      </c>
      <c r="I644" s="269">
        <f ca="1">IFERROR(__xludf.DUMMYFUNCTION("IMPORTRANGE(""https://docs.google.com/spreadsheets/d/1QqKyyYR6Q21VydFLVH3TRQUabQu_ym0Zz7PgGX0-kHA/edit?usp=sharing"",""แผน!HR81"")"),0)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275</v>
      </c>
      <c r="F645" s="625"/>
      <c r="G645" s="761"/>
      <c r="H645" s="763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IFERROR(__xludf.DUMMYFUNCTION("IMPORTRANGE(""https://docs.google.com/spreadsheets/d/1XWAQStnk-4SwqDmLtmXYiTMKHgktTP8We1SCoS47DrQ/edit?usp=sharing"",""จัดที่ดิน!AS81"")"),0)</f>
        <v>0</v>
      </c>
      <c r="K645" s="162">
        <f t="shared" si="93"/>
        <v>0</v>
      </c>
      <c r="L645" s="162"/>
      <c r="M645" s="162"/>
      <c r="N645" s="497"/>
      <c r="O645" s="162"/>
      <c r="P645" s="162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IFERROR(__xludf.DUMMYFUNCTION("IMPORTRANGE(""https://docs.google.com/spreadsheets/d/1XWAQStnk-4SwqDmLtmXYiTMKHgktTP8We1SCoS47DrQ/edit?usp=sharing"",""จัดที่ดิน!AT81"")"),0)</f>
        <v>0</v>
      </c>
      <c r="K646" s="497">
        <f t="shared" si="93"/>
        <v>0</v>
      </c>
      <c r="L646" s="162"/>
      <c r="M646" s="162"/>
      <c r="N646" s="497"/>
      <c r="O646" s="162"/>
      <c r="P646" s="162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69">
        <f ca="1">IFERROR(__xludf.DUMMYFUNCTION("IMPORTRANGE(""https://docs.google.com/spreadsheets/d/1QqKyyYR6Q21VydFLVH3TRQUabQu_ym0Zz7PgGX0-kHA/edit?usp=sharing"",""แผน!HS81"")"),0)</f>
        <v>0</v>
      </c>
      <c r="J647" s="269">
        <f ca="1">IFERROR(__xludf.DUMMYFUNCTION("IMPORTRANGE(""https://docs.google.com/spreadsheets/d/1XWAQStnk-4SwqDmLtmXYiTMKHgktTP8We1SCoS47DrQ/edit?usp=sharing"",""จัดที่ดิน!AU81"")"),0)</f>
        <v>0</v>
      </c>
      <c r="K647" s="162">
        <f t="shared" ca="1" si="93"/>
        <v>0</v>
      </c>
      <c r="L647" s="162"/>
      <c r="M647" s="162"/>
      <c r="N647" s="162"/>
      <c r="O647" s="162"/>
      <c r="P647" s="162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IFERROR(__xludf.DUMMYFUNCTION("IMPORTRANGE(""https://docs.google.com/spreadsheets/d/1XWAQStnk-4SwqDmLtmXYiTMKHgktTP8We1SCoS47DrQ/edit?usp=sharing"",""จัดที่ดิน!AV81"")"),0)</f>
        <v>0</v>
      </c>
      <c r="K648" s="497">
        <f t="shared" si="93"/>
        <v>0</v>
      </c>
      <c r="L648" s="162"/>
      <c r="M648" s="162"/>
      <c r="N648" s="162"/>
      <c r="O648" s="162"/>
      <c r="P648" s="162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276</v>
      </c>
      <c r="F649" s="625"/>
      <c r="G649" s="761"/>
      <c r="H649" s="763" t="s">
        <v>35</v>
      </c>
      <c r="I649" s="269">
        <f ca="1">IFERROR(__xludf.DUMMYFUNCTION("IMPORTRANGE(""https://docs.google.com/spreadsheets/d/1QqKyyYR6Q21VydFLVH3TRQUabQu_ym0Zz7PgGX0-kHA/edit?usp=sharing"",""แผน!HS81"")"),0)</f>
        <v>0</v>
      </c>
      <c r="J649" s="269">
        <f ca="1">IFERROR(__xludf.DUMMYFUNCTION("IMPORTRANGE(""https://docs.google.com/spreadsheets/d/1XWAQStnk-4SwqDmLtmXYiTMKHgktTP8We1SCoS47DrQ/edit?usp=sharing"",""จัดที่ดิน!AW81"")"),0)</f>
        <v>0</v>
      </c>
      <c r="K649" s="162">
        <f t="shared" ca="1" si="93"/>
        <v>0</v>
      </c>
      <c r="L649" s="162"/>
      <c r="M649" s="162"/>
      <c r="N649" s="162"/>
      <c r="O649" s="162"/>
      <c r="P649" s="162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IFERROR(__xludf.DUMMYFUNCTION("IMPORTRANGE(""https://docs.google.com/spreadsheets/d/1XWAQStnk-4SwqDmLtmXYiTMKHgktTP8We1SCoS47DrQ/edit?usp=sharing"",""จัดที่ดิน!AX81"")"),0)</f>
        <v>0</v>
      </c>
      <c r="K650" s="497">
        <f t="shared" si="93"/>
        <v>0</v>
      </c>
      <c r="L650" s="162"/>
      <c r="M650" s="162"/>
      <c r="N650" s="162"/>
      <c r="O650" s="162"/>
      <c r="P650" s="162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277</v>
      </c>
      <c r="F651" s="625"/>
      <c r="G651" s="761"/>
      <c r="H651" s="763" t="s">
        <v>35</v>
      </c>
      <c r="I651" s="269">
        <f ca="1">IFERROR(__xludf.DUMMYFUNCTION("IMPORTRANGE(""https://docs.google.com/spreadsheets/d/1QqKyyYR6Q21VydFLVH3TRQUabQu_ym0Zz7PgGX0-kHA/edit?usp=sharing"",""แผน!HS81"")"),0)</f>
        <v>0</v>
      </c>
      <c r="J651" s="269">
        <f ca="1">IFERROR(__xludf.DUMMYFUNCTION("IMPORTRANGE(""https://docs.google.com/spreadsheets/d/1XWAQStnk-4SwqDmLtmXYiTMKHgktTP8We1SCoS47DrQ/edit?usp=sharing"",""จัดที่ดิน!AY81"")"),0)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827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IFERROR(__xludf.DUMMYFUNCTION("IMPORTRANGE(""https://docs.google.com/spreadsheets/d/1XWAQStnk-4SwqDmLtmXYiTMKHgktTP8We1SCoS47DrQ/edit?usp=sharing"",""จัดที่ดิน!AZ81"")"),0)</f>
        <v>0</v>
      </c>
      <c r="K652" s="506">
        <f t="shared" si="93"/>
        <v>0</v>
      </c>
      <c r="L652" s="384"/>
      <c r="M652" s="384"/>
      <c r="N652" s="384"/>
      <c r="O652" s="384"/>
      <c r="P652" s="384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278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279</v>
      </c>
      <c r="C654" s="672"/>
      <c r="D654" s="672"/>
      <c r="E654" s="672"/>
      <c r="F654" s="672"/>
      <c r="G654" s="673"/>
      <c r="H654" s="706" t="s">
        <v>46</v>
      </c>
      <c r="I654" s="707">
        <f ca="1">I669</f>
        <v>0</v>
      </c>
      <c r="J654" s="707">
        <f>J669</f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87" t="s">
        <v>17</v>
      </c>
      <c r="E655" s="888"/>
      <c r="F655" s="888"/>
      <c r="G655" s="188"/>
      <c r="H655" s="597" t="s">
        <v>12</v>
      </c>
      <c r="I655" s="269"/>
      <c r="J655" s="269"/>
      <c r="K655" s="497"/>
      <c r="L655" s="194">
        <f ca="1">L656+L657</f>
        <v>0</v>
      </c>
      <c r="M655" s="194">
        <f>M656+M657</f>
        <v>0</v>
      </c>
      <c r="N655" s="194">
        <f>N656+N657</f>
        <v>0</v>
      </c>
      <c r="O655" s="194">
        <f t="shared" ref="O655:O660" ca="1" si="94">IF(L655&gt;0,N655*100/L655,0)</f>
        <v>0</v>
      </c>
      <c r="P655" s="194">
        <f t="shared" ref="P655:P660" si="9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184</v>
      </c>
      <c r="F656" s="758"/>
      <c r="G656" s="602"/>
      <c r="H656" s="164" t="s">
        <v>12</v>
      </c>
      <c r="I656" s="616"/>
      <c r="J656" s="616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185</v>
      </c>
      <c r="F657" s="758"/>
      <c r="G657" s="602"/>
      <c r="H657" s="164" t="s">
        <v>12</v>
      </c>
      <c r="I657" s="616"/>
      <c r="J657" s="616"/>
      <c r="K657" s="92"/>
      <c r="L657" s="92">
        <f t="shared" ca="1" si="96"/>
        <v>0</v>
      </c>
      <c r="M657" s="92">
        <f t="shared" si="96"/>
        <v>0</v>
      </c>
      <c r="N657" s="92">
        <f t="shared" si="96"/>
        <v>0</v>
      </c>
      <c r="O657" s="92">
        <f t="shared" ca="1" si="94"/>
        <v>0</v>
      </c>
      <c r="P657" s="92">
        <f t="shared" si="9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8"/>
      <c r="H658" s="160" t="s">
        <v>12</v>
      </c>
      <c r="I658" s="183"/>
      <c r="J658" s="183"/>
      <c r="K658" s="162"/>
      <c r="L658" s="497">
        <f ca="1">L659+L660</f>
        <v>0</v>
      </c>
      <c r="M658" s="497">
        <f>M659+M660</f>
        <v>0</v>
      </c>
      <c r="N658" s="497">
        <f>N659+N660</f>
        <v>0</v>
      </c>
      <c r="O658" s="497">
        <f t="shared" ca="1" si="94"/>
        <v>0</v>
      </c>
      <c r="P658" s="497">
        <f t="shared" si="9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184</v>
      </c>
      <c r="F659" s="758"/>
      <c r="G659" s="602"/>
      <c r="H659" s="164" t="s">
        <v>12</v>
      </c>
      <c r="I659" s="616"/>
      <c r="J659" s="616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185</v>
      </c>
      <c r="F660" s="758"/>
      <c r="G660" s="602"/>
      <c r="H660" s="164" t="s">
        <v>12</v>
      </c>
      <c r="I660" s="616"/>
      <c r="J660" s="616"/>
      <c r="K660" s="92"/>
      <c r="L660" s="92">
        <f ca="1">IFERROR(__xludf.DUMMYFUNCTION("IMPORTRANGE(""https://docs.google.com/spreadsheets/d/1QqKyyYR6Q21VydFLVH3TRQUabQu_ym0Zz7PgGX0-kHA/edit?usp=sharing"",""แผน!HV81"")"),0)</f>
        <v>0</v>
      </c>
      <c r="M660" s="92">
        <v>0</v>
      </c>
      <c r="N660" s="92">
        <f>N661+N662+N663+N664</f>
        <v>0</v>
      </c>
      <c r="O660" s="92">
        <f t="shared" ca="1" si="94"/>
        <v>0</v>
      </c>
      <c r="P660" s="92">
        <f t="shared" si="9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826">
        <v>0</v>
      </c>
      <c r="O661" s="497"/>
      <c r="P661" s="497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826">
        <v>0</v>
      </c>
      <c r="O662" s="497"/>
      <c r="P662" s="497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826">
        <v>0</v>
      </c>
      <c r="O663" s="497"/>
      <c r="P663" s="497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826">
        <v>0</v>
      </c>
      <c r="O664" s="497"/>
      <c r="P664" s="497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40" t="s">
        <v>38</v>
      </c>
      <c r="E668" s="760"/>
      <c r="F668" s="760"/>
      <c r="G668" s="612"/>
      <c r="H668" s="761"/>
      <c r="I668" s="183"/>
      <c r="J668" s="183"/>
      <c r="K668" s="162"/>
      <c r="L668" s="162"/>
      <c r="M668" s="162"/>
      <c r="N668" s="162"/>
      <c r="O668" s="162"/>
      <c r="P668" s="162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280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IFERROR(__xludf.DUMMYFUNCTION("IMPORTRANGE(""https://docs.google.com/spreadsheets/d/1QqKyyYR6Q21VydFLVH3TRQUabQu_ym0Zz7PgGX0-kHA/edit?usp=sharing"",""แผน!IA81"")"),0)</f>
        <v>0</v>
      </c>
      <c r="J669" s="680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281</v>
      </c>
      <c r="F670" s="625"/>
      <c r="G670" s="761"/>
      <c r="H670" s="763" t="s">
        <v>66</v>
      </c>
      <c r="I670" s="269">
        <f ca="1">IFERROR(__xludf.DUMMYFUNCTION("IMPORTRANGE(""https://docs.google.com/spreadsheets/d/1QqKyyYR6Q21VydFLVH3TRQUabQu_ym0Zz7PgGX0-kHA/edit?usp=sharing"",""แผน!HZ81"")"),0)</f>
        <v>0</v>
      </c>
      <c r="J670" s="214">
        <v>0</v>
      </c>
      <c r="K670" s="497">
        <f ca="1">IF(I670&gt;0,(J670*100)/I670,0)</f>
        <v>0</v>
      </c>
      <c r="L670" s="162"/>
      <c r="M670" s="162"/>
      <c r="N670" s="162"/>
      <c r="O670" s="162"/>
      <c r="P670" s="162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282</v>
      </c>
      <c r="F671" s="625"/>
      <c r="G671" s="761"/>
      <c r="H671" s="763" t="s">
        <v>66</v>
      </c>
      <c r="I671" s="269">
        <f ca="1">IFERROR(__xludf.DUMMYFUNCTION("IMPORTRANGE(""https://docs.google.com/spreadsheets/d/1QqKyyYR6Q21VydFLVH3TRQUabQu_ym0Zz7PgGX0-kHA/edit?usp=sharing"",""แผน!HZ81"")"),0)</f>
        <v>0</v>
      </c>
      <c r="J671" s="214">
        <v>0</v>
      </c>
      <c r="K671" s="497">
        <f ca="1">IF(I$671&gt;0,J671*100/I$671,0)</f>
        <v>0</v>
      </c>
      <c r="L671" s="162"/>
      <c r="M671" s="162"/>
      <c r="N671" s="162"/>
      <c r="O671" s="162"/>
      <c r="P671" s="162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283</v>
      </c>
      <c r="F672" s="625"/>
      <c r="G672" s="761"/>
      <c r="H672" s="763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284</v>
      </c>
      <c r="F673" s="625"/>
      <c r="G673" s="761"/>
      <c r="H673" s="763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285</v>
      </c>
      <c r="F674" s="625"/>
      <c r="G674" s="761"/>
      <c r="H674" s="763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286</v>
      </c>
      <c r="F675" s="625"/>
      <c r="G675" s="761"/>
      <c r="H675" s="763" t="s">
        <v>46</v>
      </c>
      <c r="I675" s="269"/>
      <c r="J675" s="680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287</v>
      </c>
      <c r="G676" s="761"/>
      <c r="H676" s="763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288</v>
      </c>
      <c r="G677" s="761"/>
      <c r="H677" s="763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289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IFERROR(__xludf.DUMMYFUNCTION("IMPORTRANGE(""https://docs.google.com/spreadsheets/d/1QqKyyYR6Q21VydFLVH3TRQUabQu_ym0Zz7PgGX0-kHA/edit?usp=sharing"",""แผน!IB81"")"),0)</f>
        <v>0</v>
      </c>
      <c r="J678" s="680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290</v>
      </c>
      <c r="F679" s="625"/>
      <c r="G679" s="761"/>
      <c r="H679" s="763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287</v>
      </c>
      <c r="G680" s="761"/>
      <c r="H680" s="763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288</v>
      </c>
      <c r="G681" s="761"/>
      <c r="H681" s="763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291</v>
      </c>
      <c r="F682" s="625"/>
      <c r="G682" s="761"/>
      <c r="H682" s="763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292</v>
      </c>
      <c r="G683" s="761"/>
      <c r="H683" s="763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>
      <c r="A684" s="752"/>
      <c r="B684" s="753" t="s">
        <v>293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>
      <c r="A685" s="596"/>
      <c r="B685" s="762"/>
      <c r="C685" s="762" t="s">
        <v>16</v>
      </c>
      <c r="D685" s="887" t="s">
        <v>17</v>
      </c>
      <c r="E685" s="888"/>
      <c r="F685" s="888"/>
      <c r="G685" s="188"/>
      <c r="H685" s="597" t="s">
        <v>12</v>
      </c>
      <c r="I685" s="269"/>
      <c r="J685" s="269"/>
      <c r="K685" s="497"/>
      <c r="L685" s="194">
        <f ca="1">L686+L687</f>
        <v>2000</v>
      </c>
      <c r="M685" s="194">
        <f ca="1">M686+M687</f>
        <v>2000</v>
      </c>
      <c r="N685" s="194">
        <f>N686+N687</f>
        <v>2000</v>
      </c>
      <c r="O685" s="194">
        <f ca="1">IF(L685&gt;0,N685*100/L685,0)</f>
        <v>100</v>
      </c>
      <c r="P685" s="194">
        <f ca="1">IF(M685&gt;0,N685*100/M685,0)</f>
        <v>100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184</v>
      </c>
      <c r="F686" s="758"/>
      <c r="G686" s="602"/>
      <c r="H686" s="164" t="s">
        <v>12</v>
      </c>
      <c r="I686" s="616"/>
      <c r="J686" s="616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185</v>
      </c>
      <c r="F687" s="758"/>
      <c r="G687" s="602"/>
      <c r="H687" s="164" t="s">
        <v>12</v>
      </c>
      <c r="I687" s="616"/>
      <c r="J687" s="616"/>
      <c r="K687" s="92"/>
      <c r="L687" s="92">
        <f t="shared" ca="1" si="97"/>
        <v>2000</v>
      </c>
      <c r="M687" s="92">
        <f t="shared" ca="1" si="97"/>
        <v>2000</v>
      </c>
      <c r="N687" s="92">
        <f t="shared" si="97"/>
        <v>2000</v>
      </c>
      <c r="O687" s="92">
        <f ca="1">IF(L687&gt;0,N687*100/L687,0)</f>
        <v>100</v>
      </c>
      <c r="P687" s="92">
        <f ca="1">IF(M687&gt;0,N687*100/M687,0)</f>
        <v>100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>
      <c r="A688" s="596"/>
      <c r="B688" s="574"/>
      <c r="C688" s="762"/>
      <c r="D688" s="605" t="s">
        <v>20</v>
      </c>
      <c r="E688" s="762"/>
      <c r="F688" s="762"/>
      <c r="G688" s="188"/>
      <c r="H688" s="160" t="s">
        <v>12</v>
      </c>
      <c r="I688" s="183"/>
      <c r="J688" s="183"/>
      <c r="K688" s="162"/>
      <c r="L688" s="497">
        <f ca="1">L689+L690</f>
        <v>2000</v>
      </c>
      <c r="M688" s="497">
        <f ca="1">M689+M690</f>
        <v>2000</v>
      </c>
      <c r="N688" s="497">
        <f>N689+N690</f>
        <v>2000</v>
      </c>
      <c r="O688" s="497">
        <f ca="1">IF(L688&gt;0,N688*100/L688,0)</f>
        <v>100</v>
      </c>
      <c r="P688" s="497">
        <f ca="1">IF(M688&gt;0,N688*100/M688,0)</f>
        <v>100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184</v>
      </c>
      <c r="F689" s="758"/>
      <c r="G689" s="602"/>
      <c r="H689" s="164" t="s">
        <v>12</v>
      </c>
      <c r="I689" s="616"/>
      <c r="J689" s="616"/>
      <c r="K689" s="92"/>
      <c r="L689" s="92">
        <v>0</v>
      </c>
      <c r="M689" s="92">
        <v>0</v>
      </c>
      <c r="N689" s="92">
        <v>0</v>
      </c>
      <c r="O689" s="92"/>
      <c r="P689" s="92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185</v>
      </c>
      <c r="F690" s="758"/>
      <c r="G690" s="602"/>
      <c r="H690" s="164" t="s">
        <v>12</v>
      </c>
      <c r="I690" s="616"/>
      <c r="J690" s="616"/>
      <c r="K690" s="92"/>
      <c r="L690" s="92">
        <f ca="1">IFERROR(__xludf.DUMMYFUNCTION("IMPORTRANGE(""https://docs.google.com/spreadsheets/d/1QqKyyYR6Q21VydFLVH3TRQUabQu_ym0Zz7PgGX0-kHA/edit?usp=sharing"",""แผน!HW81"")"),2000)</f>
        <v>2000</v>
      </c>
      <c r="M690" s="92">
        <f ca="1">L690</f>
        <v>2000</v>
      </c>
      <c r="N690" s="92">
        <f>N691+N692+N693+N694</f>
        <v>2000</v>
      </c>
      <c r="O690" s="92">
        <f ca="1">IF(L690&gt;0,N690*100/L690,0)</f>
        <v>100</v>
      </c>
      <c r="P690" s="92">
        <f ca="1">IF(M690&gt;0,N690*100/M690,0)</f>
        <v>100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>
      <c r="A691" s="573"/>
      <c r="B691" s="574"/>
      <c r="C691" s="762"/>
      <c r="D691" s="762"/>
      <c r="E691" s="762"/>
      <c r="F691" s="762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826">
        <v>0</v>
      </c>
      <c r="O691" s="497"/>
      <c r="P691" s="497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>
      <c r="A692" s="573"/>
      <c r="B692" s="574"/>
      <c r="C692" s="762"/>
      <c r="D692" s="762"/>
      <c r="E692" s="762"/>
      <c r="F692" s="762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826">
        <v>0</v>
      </c>
      <c r="O692" s="497"/>
      <c r="P692" s="497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>
      <c r="A693" s="573"/>
      <c r="B693" s="574"/>
      <c r="C693" s="762"/>
      <c r="D693" s="762"/>
      <c r="E693" s="762"/>
      <c r="F693" s="762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826">
        <v>0</v>
      </c>
      <c r="O693" s="497"/>
      <c r="P693" s="497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>
      <c r="A694" s="573"/>
      <c r="B694" s="574"/>
      <c r="C694" s="762"/>
      <c r="D694" s="762"/>
      <c r="E694" s="762"/>
      <c r="F694" s="762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826">
        <v>2000</v>
      </c>
      <c r="O694" s="497"/>
      <c r="P694" s="497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>
      <c r="A695" s="596"/>
      <c r="B695" s="574"/>
      <c r="C695" s="762"/>
      <c r="D695" s="605" t="s">
        <v>21</v>
      </c>
      <c r="E695" s="762"/>
      <c r="F695" s="762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>
      <c r="A698" s="607"/>
      <c r="B698" s="617"/>
      <c r="C698" s="762" t="s">
        <v>16</v>
      </c>
      <c r="D698" s="838" t="s">
        <v>38</v>
      </c>
      <c r="E698" s="760"/>
      <c r="F698" s="760"/>
      <c r="G698" s="612"/>
      <c r="H698" s="761"/>
      <c r="I698" s="183"/>
      <c r="J698" s="183"/>
      <c r="K698" s="162"/>
      <c r="L698" s="162"/>
      <c r="M698" s="162"/>
      <c r="N698" s="162"/>
      <c r="O698" s="162"/>
      <c r="P698" s="162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>
      <c r="A699" s="743"/>
      <c r="B699" s="762"/>
      <c r="C699" s="762"/>
      <c r="D699" s="762" t="s">
        <v>294</v>
      </c>
      <c r="E699" s="762"/>
      <c r="F699" s="762"/>
      <c r="G699" s="188"/>
      <c r="H699" s="763" t="s">
        <v>46</v>
      </c>
      <c r="I699" s="764">
        <f ca="1">IFERROR(__xludf.DUMMYFUNCTION("IMPORTRANGE(""https://docs.google.com/spreadsheets/d/1QqKyyYR6Q21VydFLVH3TRQUabQu_ym0Zz7PgGX0-kHA/edit?usp=sharing"",""แผน!IC81"")"),0)</f>
        <v>0</v>
      </c>
      <c r="J699" s="269">
        <f ca="1">IFERROR(__xludf.DUMMYFUNCTION("IMPORTRANGE(""https://docs.google.com/spreadsheets/d/1XWAQStnk-4SwqDmLtmXYiTMKHgktTP8We1SCoS47DrQ/edit?usp=sharing"",""จัดที่ดิน!BB81"")"),0)</f>
        <v>0</v>
      </c>
      <c r="K699" s="497">
        <f ca="1">IF(I699&gt;0,J699*100/I699,0)</f>
        <v>0</v>
      </c>
      <c r="L699" s="497"/>
      <c r="M699" s="188"/>
      <c r="N699" s="765"/>
      <c r="O699" s="497"/>
      <c r="P699" s="497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>
      <c r="A700" s="743"/>
      <c r="B700" s="762"/>
      <c r="C700" s="762"/>
      <c r="D700" s="762" t="s">
        <v>295</v>
      </c>
      <c r="E700" s="762"/>
      <c r="F700" s="762"/>
      <c r="G700" s="188"/>
      <c r="H700" s="763" t="s">
        <v>35</v>
      </c>
      <c r="I700" s="764">
        <f ca="1">IFERROR(__xludf.DUMMYFUNCTION("IMPORTRANGE(""https://docs.google.com/spreadsheets/d/1QqKyyYR6Q21VydFLVH3TRQUabQu_ym0Zz7PgGX0-kHA/edit?usp=sharing"",""แผน!ID81"")"),0)</f>
        <v>0</v>
      </c>
      <c r="J700" s="269">
        <f ca="1">IFERROR(__xludf.DUMMYFUNCTION("IMPORTRANGE(""https://docs.google.com/spreadsheets/d/1XWAQStnk-4SwqDmLtmXYiTMKHgktTP8We1SCoS47DrQ/edit?usp=sharing"",""จัดที่ดิน!BD81"")"),0)</f>
        <v>0</v>
      </c>
      <c r="K700" s="497">
        <f ca="1">IF(I700&gt;0,J700*100/I700,0)</f>
        <v>0</v>
      </c>
      <c r="L700" s="497"/>
      <c r="M700" s="188"/>
      <c r="N700" s="765"/>
      <c r="O700" s="497"/>
      <c r="P700" s="497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>
      <c r="A701" s="743"/>
      <c r="B701" s="762"/>
      <c r="C701" s="762"/>
      <c r="D701" s="762" t="s">
        <v>296</v>
      </c>
      <c r="E701" s="762"/>
      <c r="F701" s="762"/>
      <c r="G701" s="188"/>
      <c r="H701" s="766" t="s">
        <v>46</v>
      </c>
      <c r="I701" s="767">
        <f ca="1">IFERROR(__xludf.DUMMYFUNCTION("IMPORTRANGE(""https://docs.google.com/spreadsheets/d/1QqKyyYR6Q21VydFLVH3TRQUabQu_ym0Zz7PgGX0-kHA/edit?usp=sharing"",""แผน!IE81"")"),50)</f>
        <v>50</v>
      </c>
      <c r="J701" s="680">
        <f>J704+J707</f>
        <v>0</v>
      </c>
      <c r="K701" s="194">
        <f ca="1">IF(I701&gt;0,J701*100/I701,0)</f>
        <v>0</v>
      </c>
      <c r="L701" s="497"/>
      <c r="M701" s="188"/>
      <c r="N701" s="765"/>
      <c r="O701" s="497"/>
      <c r="P701" s="497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>
      <c r="A702" s="743"/>
      <c r="B702" s="762"/>
      <c r="C702" s="762"/>
      <c r="D702" s="762"/>
      <c r="E702" s="762" t="s">
        <v>297</v>
      </c>
      <c r="F702" s="762"/>
      <c r="G702" s="188"/>
      <c r="H702" s="763" t="s">
        <v>35</v>
      </c>
      <c r="I702" s="764"/>
      <c r="J702" s="214">
        <v>0</v>
      </c>
      <c r="K702" s="497"/>
      <c r="L702" s="497"/>
      <c r="M702" s="188"/>
      <c r="N702" s="765"/>
      <c r="O702" s="497"/>
      <c r="P702" s="497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>
      <c r="A703" s="743"/>
      <c r="B703" s="762"/>
      <c r="C703" s="762"/>
      <c r="D703" s="762"/>
      <c r="E703" s="762"/>
      <c r="F703" s="762"/>
      <c r="G703" s="188"/>
      <c r="H703" s="763" t="s">
        <v>34</v>
      </c>
      <c r="I703" s="764"/>
      <c r="J703" s="214">
        <v>0</v>
      </c>
      <c r="K703" s="497"/>
      <c r="L703" s="497"/>
      <c r="M703" s="188"/>
      <c r="N703" s="765"/>
      <c r="O703" s="497"/>
      <c r="P703" s="497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>
      <c r="A704" s="743"/>
      <c r="B704" s="762"/>
      <c r="C704" s="762"/>
      <c r="D704" s="762"/>
      <c r="E704" s="762"/>
      <c r="F704" s="762"/>
      <c r="G704" s="188"/>
      <c r="H704" s="763" t="s">
        <v>46</v>
      </c>
      <c r="I704" s="764">
        <f ca="1">IFERROR(__xludf.DUMMYFUNCTION("IMPORTRANGE(""https://docs.google.com/spreadsheets/d/1QqKyyYR6Q21VydFLVH3TRQUabQu_ym0Zz7PgGX0-kHA/edit?usp=sharing"",""แผน!IF81"")"),0)</f>
        <v>0</v>
      </c>
      <c r="J704" s="214">
        <v>0</v>
      </c>
      <c r="K704" s="497"/>
      <c r="L704" s="497"/>
      <c r="M704" s="188"/>
      <c r="N704" s="765"/>
      <c r="O704" s="497"/>
      <c r="P704" s="497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>
      <c r="A705" s="743"/>
      <c r="B705" s="762"/>
      <c r="C705" s="762"/>
      <c r="D705" s="762"/>
      <c r="E705" s="762" t="s">
        <v>298</v>
      </c>
      <c r="F705" s="762"/>
      <c r="G705" s="188"/>
      <c r="H705" s="763" t="s">
        <v>35</v>
      </c>
      <c r="I705" s="764"/>
      <c r="J705" s="214">
        <v>0</v>
      </c>
      <c r="K705" s="497"/>
      <c r="L705" s="497"/>
      <c r="M705" s="188"/>
      <c r="N705" s="765"/>
      <c r="O705" s="497"/>
      <c r="P705" s="497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>
      <c r="A706" s="743"/>
      <c r="B706" s="762"/>
      <c r="C706" s="762"/>
      <c r="D706" s="762"/>
      <c r="E706" s="762"/>
      <c r="F706" s="762"/>
      <c r="G706" s="188"/>
      <c r="H706" s="763" t="s">
        <v>34</v>
      </c>
      <c r="I706" s="764"/>
      <c r="J706" s="214">
        <v>0</v>
      </c>
      <c r="K706" s="497"/>
      <c r="L706" s="497"/>
      <c r="M706" s="188"/>
      <c r="N706" s="765"/>
      <c r="O706" s="497"/>
      <c r="P706" s="497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>
      <c r="A707" s="743"/>
      <c r="B707" s="762"/>
      <c r="C707" s="762"/>
      <c r="D707" s="762"/>
      <c r="E707" s="762"/>
      <c r="F707" s="762"/>
      <c r="G707" s="188"/>
      <c r="H707" s="763" t="s">
        <v>46</v>
      </c>
      <c r="I707" s="764">
        <f ca="1">IFERROR(__xludf.DUMMYFUNCTION("IMPORTRANGE(""https://docs.google.com/spreadsheets/d/1QqKyyYR6Q21VydFLVH3TRQUabQu_ym0Zz7PgGX0-kHA/edit?usp=sharing"",""แผน!IG81"")"),50)</f>
        <v>50</v>
      </c>
      <c r="J707" s="214">
        <v>0</v>
      </c>
      <c r="K707" s="497"/>
      <c r="L707" s="497"/>
      <c r="M707" s="188"/>
      <c r="N707" s="765"/>
      <c r="O707" s="497"/>
      <c r="P707" s="497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>
      <c r="A708" s="743"/>
      <c r="B708" s="762"/>
      <c r="C708" s="762"/>
      <c r="D708" s="768" t="s">
        <v>299</v>
      </c>
      <c r="E708" s="762"/>
      <c r="F708" s="762"/>
      <c r="G708" s="188"/>
      <c r="H708" s="766" t="s">
        <v>46</v>
      </c>
      <c r="I708" s="767">
        <f ca="1">IFERROR(__xludf.DUMMYFUNCTION("IMPORTRANGE(""https://docs.google.com/spreadsheets/d/1QqKyyYR6Q21VydFLVH3TRQUabQu_ym0Zz7PgGX0-kHA/edit?usp=sharing"",""แผน!IH81"")"),0)</f>
        <v>0</v>
      </c>
      <c r="J708" s="680">
        <f>J714+J717</f>
        <v>0</v>
      </c>
      <c r="K708" s="194">
        <f ca="1">IF(I708&gt;0,J708*100/I708,0)</f>
        <v>0</v>
      </c>
      <c r="L708" s="497"/>
      <c r="M708" s="188"/>
      <c r="N708" s="765"/>
      <c r="O708" s="497"/>
      <c r="P708" s="497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>
      <c r="A709" s="743"/>
      <c r="B709" s="762"/>
      <c r="C709" s="762"/>
      <c r="D709" s="762"/>
      <c r="E709" s="762" t="s">
        <v>300</v>
      </c>
      <c r="F709" s="762"/>
      <c r="G709" s="188"/>
      <c r="H709" s="763" t="s">
        <v>34</v>
      </c>
      <c r="I709" s="764"/>
      <c r="J709" s="214">
        <v>0</v>
      </c>
      <c r="K709" s="497"/>
      <c r="L709" s="765"/>
      <c r="M709" s="188"/>
      <c r="N709" s="765"/>
      <c r="O709" s="497"/>
      <c r="P709" s="497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>
      <c r="A710" s="743"/>
      <c r="B710" s="762"/>
      <c r="C710" s="762"/>
      <c r="D710" s="762"/>
      <c r="E710" s="762"/>
      <c r="F710" s="762"/>
      <c r="G710" s="188"/>
      <c r="H710" s="763" t="s">
        <v>46</v>
      </c>
      <c r="I710" s="764"/>
      <c r="J710" s="214">
        <v>0</v>
      </c>
      <c r="K710" s="497"/>
      <c r="L710" s="765"/>
      <c r="M710" s="188"/>
      <c r="N710" s="765"/>
      <c r="O710" s="497"/>
      <c r="P710" s="497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>
      <c r="A711" s="743"/>
      <c r="B711" s="762"/>
      <c r="C711" s="762"/>
      <c r="D711" s="762"/>
      <c r="E711" s="762" t="s">
        <v>301</v>
      </c>
      <c r="F711" s="762"/>
      <c r="G711" s="188"/>
      <c r="H711" s="761"/>
      <c r="I711" s="764"/>
      <c r="J711" s="269"/>
      <c r="K711" s="497"/>
      <c r="L711" s="765"/>
      <c r="M711" s="188"/>
      <c r="N711" s="765"/>
      <c r="O711" s="497"/>
      <c r="P711" s="497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>
      <c r="A712" s="743"/>
      <c r="B712" s="762"/>
      <c r="C712" s="762"/>
      <c r="D712" s="762"/>
      <c r="E712" s="762"/>
      <c r="F712" s="762" t="s">
        <v>302</v>
      </c>
      <c r="G712" s="188"/>
      <c r="H712" s="763" t="s">
        <v>35</v>
      </c>
      <c r="I712" s="764"/>
      <c r="J712" s="214">
        <v>0</v>
      </c>
      <c r="K712" s="497"/>
      <c r="L712" s="765"/>
      <c r="M712" s="188"/>
      <c r="N712" s="765"/>
      <c r="O712" s="497"/>
      <c r="P712" s="497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>
      <c r="A713" s="743"/>
      <c r="B713" s="762"/>
      <c r="C713" s="762"/>
      <c r="D713" s="762"/>
      <c r="E713" s="762"/>
      <c r="F713" s="762"/>
      <c r="G713" s="188"/>
      <c r="H713" s="763" t="s">
        <v>34</v>
      </c>
      <c r="I713" s="764"/>
      <c r="J713" s="214">
        <v>0</v>
      </c>
      <c r="K713" s="497"/>
      <c r="L713" s="765"/>
      <c r="M713" s="188"/>
      <c r="N713" s="765"/>
      <c r="O713" s="497"/>
      <c r="P713" s="497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>
      <c r="A714" s="743"/>
      <c r="B714" s="762"/>
      <c r="C714" s="762"/>
      <c r="D714" s="762"/>
      <c r="E714" s="762"/>
      <c r="F714" s="762"/>
      <c r="G714" s="188"/>
      <c r="H714" s="763" t="s">
        <v>46</v>
      </c>
      <c r="I714" s="764"/>
      <c r="J714" s="214">
        <v>0</v>
      </c>
      <c r="K714" s="497"/>
      <c r="L714" s="765"/>
      <c r="M714" s="188"/>
      <c r="N714" s="765"/>
      <c r="O714" s="497"/>
      <c r="P714" s="497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>
      <c r="A715" s="743"/>
      <c r="B715" s="762"/>
      <c r="C715" s="762"/>
      <c r="D715" s="762"/>
      <c r="E715" s="762"/>
      <c r="F715" s="762" t="s">
        <v>303</v>
      </c>
      <c r="G715" s="188"/>
      <c r="H715" s="763" t="s">
        <v>35</v>
      </c>
      <c r="I715" s="764"/>
      <c r="J715" s="214">
        <v>0</v>
      </c>
      <c r="K715" s="497"/>
      <c r="L715" s="765"/>
      <c r="M715" s="188"/>
      <c r="N715" s="765"/>
      <c r="O715" s="497"/>
      <c r="P715" s="497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>
      <c r="A716" s="743"/>
      <c r="B716" s="762"/>
      <c r="C716" s="762"/>
      <c r="D716" s="762"/>
      <c r="E716" s="762"/>
      <c r="F716" s="762"/>
      <c r="G716" s="188"/>
      <c r="H716" s="763" t="s">
        <v>34</v>
      </c>
      <c r="I716" s="764"/>
      <c r="J716" s="214">
        <v>0</v>
      </c>
      <c r="K716" s="497"/>
      <c r="L716" s="765"/>
      <c r="M716" s="188"/>
      <c r="N716" s="765"/>
      <c r="O716" s="497"/>
      <c r="P716" s="497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>
      <c r="A717" s="743"/>
      <c r="B717" s="762"/>
      <c r="C717" s="762"/>
      <c r="D717" s="762"/>
      <c r="E717" s="762"/>
      <c r="F717" s="762"/>
      <c r="G717" s="188"/>
      <c r="H717" s="763" t="s">
        <v>46</v>
      </c>
      <c r="I717" s="764"/>
      <c r="J717" s="214">
        <v>0</v>
      </c>
      <c r="K717" s="497"/>
      <c r="L717" s="765"/>
      <c r="M717" s="188"/>
      <c r="N717" s="765"/>
      <c r="O717" s="497"/>
      <c r="P717" s="497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>
      <c r="A718" s="743"/>
      <c r="B718" s="762"/>
      <c r="C718" s="762"/>
      <c r="D718" s="762" t="s">
        <v>304</v>
      </c>
      <c r="E718" s="762"/>
      <c r="F718" s="762"/>
      <c r="G718" s="188"/>
      <c r="H718" s="763" t="s">
        <v>35</v>
      </c>
      <c r="I718" s="764"/>
      <c r="J718" s="269">
        <f ca="1">IFERROR(__xludf.DUMMYFUNCTION("IMPORTRANGE(""https://docs.google.com/spreadsheets/d/1XWAQStnk-4SwqDmLtmXYiTMKHgktTP8We1SCoS47DrQ/edit?usp=sharing"",""จัดที่ดิน!BF81"")"),0)</f>
        <v>0</v>
      </c>
      <c r="K718" s="497"/>
      <c r="L718" s="497"/>
      <c r="M718" s="188"/>
      <c r="N718" s="765"/>
      <c r="O718" s="497"/>
      <c r="P718" s="497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>
      <c r="A719" s="743"/>
      <c r="B719" s="762"/>
      <c r="C719" s="762"/>
      <c r="D719" s="762"/>
      <c r="E719" s="762"/>
      <c r="F719" s="762"/>
      <c r="G719" s="188"/>
      <c r="H719" s="763" t="s">
        <v>34</v>
      </c>
      <c r="I719" s="764"/>
      <c r="J719" s="269">
        <f ca="1">IFERROR(__xludf.DUMMYFUNCTION("IMPORTRANGE(""https://docs.google.com/spreadsheets/d/1XWAQStnk-4SwqDmLtmXYiTMKHgktTP8We1SCoS47DrQ/edit?usp=sharing"",""จัดที่ดิน!BG81"")"),0)</f>
        <v>0</v>
      </c>
      <c r="K719" s="497"/>
      <c r="L719" s="765"/>
      <c r="M719" s="188"/>
      <c r="N719" s="765"/>
      <c r="O719" s="497"/>
      <c r="P719" s="497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>
      <c r="A720" s="743"/>
      <c r="B720" s="762"/>
      <c r="C720" s="762"/>
      <c r="D720" s="762"/>
      <c r="E720" s="762"/>
      <c r="F720" s="762"/>
      <c r="G720" s="188"/>
      <c r="H720" s="763" t="s">
        <v>46</v>
      </c>
      <c r="I720" s="764">
        <f ca="1">IFERROR(__xludf.DUMMYFUNCTION("IMPORTRANGE(""https://docs.google.com/spreadsheets/d/1QqKyyYR6Q21VydFLVH3TRQUabQu_ym0Zz7PgGX0-kHA/edit?usp=sharing"",""แผน!II81"")"),0)</f>
        <v>0</v>
      </c>
      <c r="J720" s="269">
        <f ca="1">IFERROR(__xludf.DUMMYFUNCTION("IMPORTRANGE(""https://docs.google.com/spreadsheets/d/1XWAQStnk-4SwqDmLtmXYiTMKHgktTP8We1SCoS47DrQ/edit?usp=sharing"",""จัดที่ดิน!BH81"")"),0)</f>
        <v>0</v>
      </c>
      <c r="K720" s="497">
        <f ca="1">IF(I720&gt;0,J720*100/I720,0)</f>
        <v>0</v>
      </c>
      <c r="L720" s="765"/>
      <c r="M720" s="188"/>
      <c r="N720" s="765"/>
      <c r="O720" s="497"/>
      <c r="P720" s="497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>
      <c r="A721" s="743"/>
      <c r="B721" s="762"/>
      <c r="C721" s="762"/>
      <c r="D721" s="762" t="s">
        <v>305</v>
      </c>
      <c r="E721" s="762"/>
      <c r="F721" s="762"/>
      <c r="G721" s="188"/>
      <c r="H721" s="766" t="s">
        <v>35</v>
      </c>
      <c r="I721" s="767">
        <f ca="1">IFERROR(__xludf.DUMMYFUNCTION("IMPORTRANGE(""https://docs.google.com/spreadsheets/d/1QqKyyYR6Q21VydFLVH3TRQUabQu_ym0Zz7PgGX0-kHA/edit?usp=sharing"",""แผน!IJ81"")"),0)</f>
        <v>0</v>
      </c>
      <c r="J721" s="680">
        <f ca="1">J723+J726</f>
        <v>0</v>
      </c>
      <c r="K721" s="194">
        <f ca="1">IF(I721&gt;0,J721*100/I721,0)</f>
        <v>0</v>
      </c>
      <c r="L721" s="765"/>
      <c r="M721" s="188"/>
      <c r="N721" s="765"/>
      <c r="O721" s="497"/>
      <c r="P721" s="497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>
      <c r="A722" s="743"/>
      <c r="B722" s="762"/>
      <c r="C722" s="762"/>
      <c r="D722" s="762"/>
      <c r="E722" s="762"/>
      <c r="F722" s="762"/>
      <c r="G722" s="188"/>
      <c r="H722" s="766" t="s">
        <v>46</v>
      </c>
      <c r="I722" s="767">
        <f ca="1">IFERROR(__xludf.DUMMYFUNCTION("IMPORTRANGE(""https://docs.google.com/spreadsheets/d/1QqKyyYR6Q21VydFLVH3TRQUabQu_ym0Zz7PgGX0-kHA/edit?usp=sharing"",""แผน!IK81"")"),0)</f>
        <v>0</v>
      </c>
      <c r="J722" s="680">
        <f ca="1">J725+J728</f>
        <v>0</v>
      </c>
      <c r="K722" s="194">
        <f ca="1">IF(I722&gt;0,J722*100/I722,0)</f>
        <v>0</v>
      </c>
      <c r="L722" s="497"/>
      <c r="M722" s="188"/>
      <c r="N722" s="765"/>
      <c r="O722" s="497"/>
      <c r="P722" s="497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>
      <c r="A723" s="743"/>
      <c r="B723" s="762"/>
      <c r="C723" s="762"/>
      <c r="D723" s="762"/>
      <c r="E723" s="762" t="s">
        <v>306</v>
      </c>
      <c r="F723" s="762"/>
      <c r="G723" s="188"/>
      <c r="H723" s="763" t="s">
        <v>35</v>
      </c>
      <c r="I723" s="764">
        <f ca="1">IFERROR(__xludf.DUMMYFUNCTION("IMPORTRANGE(""https://docs.google.com/spreadsheets/d/1QqKyyYR6Q21VydFLVH3TRQUabQu_ym0Zz7PgGX0-kHA/edit?usp=sharing"",""แผน!IL81"")"),0)</f>
        <v>0</v>
      </c>
      <c r="J723" s="269">
        <f ca="1">IFERROR(__xludf.DUMMYFUNCTION("IMPORTRANGE(""https://docs.google.com/spreadsheets/d/1XWAQStnk-4SwqDmLtmXYiTMKHgktTP8We1SCoS47DrQ/edit?usp=sharing"",""จัดที่ดิน!BM81"")"),0)</f>
        <v>0</v>
      </c>
      <c r="K723" s="497">
        <f ca="1">IF(I723&gt;0,J723*100/I723,0)</f>
        <v>0</v>
      </c>
      <c r="L723" s="497"/>
      <c r="M723" s="188"/>
      <c r="N723" s="765"/>
      <c r="O723" s="497"/>
      <c r="P723" s="497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>
      <c r="A724" s="743"/>
      <c r="B724" s="762"/>
      <c r="C724" s="762"/>
      <c r="D724" s="762"/>
      <c r="E724" s="762"/>
      <c r="F724" s="762"/>
      <c r="G724" s="188"/>
      <c r="H724" s="763" t="s">
        <v>34</v>
      </c>
      <c r="I724" s="764"/>
      <c r="J724" s="269">
        <f ca="1">IFERROR(__xludf.DUMMYFUNCTION("IMPORTRANGE(""https://docs.google.com/spreadsheets/d/1XWAQStnk-4SwqDmLtmXYiTMKHgktTP8We1SCoS47DrQ/edit?usp=sharing"",""จัดที่ดิน!BN81"")"),0)</f>
        <v>0</v>
      </c>
      <c r="K724" s="497"/>
      <c r="L724" s="765"/>
      <c r="M724" s="188"/>
      <c r="N724" s="765"/>
      <c r="O724" s="497"/>
      <c r="P724" s="497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>
      <c r="A725" s="743"/>
      <c r="B725" s="762"/>
      <c r="C725" s="762"/>
      <c r="D725" s="762"/>
      <c r="E725" s="762"/>
      <c r="F725" s="762"/>
      <c r="G725" s="188"/>
      <c r="H725" s="763" t="s">
        <v>46</v>
      </c>
      <c r="I725" s="764">
        <f ca="1">IFERROR(__xludf.DUMMYFUNCTION("IMPORTRANGE(""https://docs.google.com/spreadsheets/d/1QqKyyYR6Q21VydFLVH3TRQUabQu_ym0Zz7PgGX0-kHA/edit?usp=sharing"",""แผน!IM81"")"),0)</f>
        <v>0</v>
      </c>
      <c r="J725" s="269">
        <f ca="1">IFERROR(__xludf.DUMMYFUNCTION("IMPORTRANGE(""https://docs.google.com/spreadsheets/d/1XWAQStnk-4SwqDmLtmXYiTMKHgktTP8We1SCoS47DrQ/edit?usp=sharing"",""จัดที่ดิน!BO81"")"),0)</f>
        <v>0</v>
      </c>
      <c r="K725" s="497">
        <f ca="1">IF(I725&gt;0,J725*100/I725,0)</f>
        <v>0</v>
      </c>
      <c r="L725" s="765"/>
      <c r="M725" s="188"/>
      <c r="N725" s="765"/>
      <c r="O725" s="497"/>
      <c r="P725" s="497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>
      <c r="A726" s="743"/>
      <c r="B726" s="762"/>
      <c r="C726" s="762"/>
      <c r="D726" s="762"/>
      <c r="E726" s="762" t="s">
        <v>307</v>
      </c>
      <c r="F726" s="762"/>
      <c r="G726" s="188"/>
      <c r="H726" s="763" t="s">
        <v>35</v>
      </c>
      <c r="I726" s="764">
        <f ca="1">IFERROR(__xludf.DUMMYFUNCTION("IMPORTRANGE(""https://docs.google.com/spreadsheets/d/1QqKyyYR6Q21VydFLVH3TRQUabQu_ym0Zz7PgGX0-kHA/edit?usp=sharing"",""แผน!IN81"")"),0)</f>
        <v>0</v>
      </c>
      <c r="J726" s="269">
        <f ca="1">IFERROR(__xludf.DUMMYFUNCTION("IMPORTRANGE(""https://docs.google.com/spreadsheets/d/1XWAQStnk-4SwqDmLtmXYiTMKHgktTP8We1SCoS47DrQ/edit?usp=sharing"",""จัดที่ดิน!BR81"")"),0)</f>
        <v>0</v>
      </c>
      <c r="K726" s="497">
        <f ca="1">IF(I726&gt;0,J726*100/I726,0)</f>
        <v>0</v>
      </c>
      <c r="L726" s="497"/>
      <c r="M726" s="188"/>
      <c r="N726" s="765"/>
      <c r="O726" s="497"/>
      <c r="P726" s="497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>
      <c r="A727" s="743"/>
      <c r="B727" s="762"/>
      <c r="C727" s="762"/>
      <c r="D727" s="762"/>
      <c r="E727" s="762"/>
      <c r="F727" s="762"/>
      <c r="G727" s="188"/>
      <c r="H727" s="763" t="s">
        <v>34</v>
      </c>
      <c r="I727" s="764"/>
      <c r="J727" s="269">
        <f ca="1">IFERROR(__xludf.DUMMYFUNCTION("IMPORTRANGE(""https://docs.google.com/spreadsheets/d/1XWAQStnk-4SwqDmLtmXYiTMKHgktTP8We1SCoS47DrQ/edit?usp=sharing"",""จัดที่ดิน!BS81"")"),0)</f>
        <v>0</v>
      </c>
      <c r="K727" s="497"/>
      <c r="L727" s="765"/>
      <c r="M727" s="188"/>
      <c r="N727" s="765"/>
      <c r="O727" s="497"/>
      <c r="P727" s="497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>
      <c r="A728" s="743"/>
      <c r="B728" s="762"/>
      <c r="C728" s="762"/>
      <c r="D728" s="762"/>
      <c r="E728" s="762"/>
      <c r="F728" s="762"/>
      <c r="G728" s="188"/>
      <c r="H728" s="763" t="s">
        <v>46</v>
      </c>
      <c r="I728" s="764">
        <f ca="1">IFERROR(__xludf.DUMMYFUNCTION("IMPORTRANGE(""https://docs.google.com/spreadsheets/d/1QqKyyYR6Q21VydFLVH3TRQUabQu_ym0Zz7PgGX0-kHA/edit?usp=sharing"",""แผน!IO81"")"),0)</f>
        <v>0</v>
      </c>
      <c r="J728" s="269">
        <f ca="1">IFERROR(__xludf.DUMMYFUNCTION("IMPORTRANGE(""https://docs.google.com/spreadsheets/d/1XWAQStnk-4SwqDmLtmXYiTMKHgktTP8We1SCoS47DrQ/edit?usp=sharing"",""จัดที่ดิน!BT81"")"),0)</f>
        <v>0</v>
      </c>
      <c r="K728" s="497">
        <f ca="1">IF(I728&gt;0,J728*100/I728,0)</f>
        <v>0</v>
      </c>
      <c r="L728" s="765"/>
      <c r="M728" s="188"/>
      <c r="N728" s="765"/>
      <c r="O728" s="497"/>
      <c r="P728" s="497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>
      <c r="A729" s="743"/>
      <c r="B729" s="762"/>
      <c r="C729" s="762"/>
      <c r="D729" s="762" t="s">
        <v>308</v>
      </c>
      <c r="E729" s="762"/>
      <c r="F729" s="762"/>
      <c r="G729" s="188"/>
      <c r="H729" s="766" t="s">
        <v>46</v>
      </c>
      <c r="I729" s="767">
        <f ca="1">IFERROR(__xludf.DUMMYFUNCTION("IMPORTRANGE(""https://docs.google.com/spreadsheets/d/1QqKyyYR6Q21VydFLVH3TRQUabQu_ym0Zz7PgGX0-kHA/edit?usp=sharing"",""แผน!IP81"")"),0)</f>
        <v>0</v>
      </c>
      <c r="J729" s="680">
        <f>J732+J735</f>
        <v>0</v>
      </c>
      <c r="K729" s="194">
        <f ca="1">IF(I729&gt;0,J729*100/I729,0)</f>
        <v>0</v>
      </c>
      <c r="L729" s="497"/>
      <c r="M729" s="188"/>
      <c r="N729" s="765"/>
      <c r="O729" s="497"/>
      <c r="P729" s="497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>
      <c r="A730" s="743"/>
      <c r="B730" s="762"/>
      <c r="C730" s="762"/>
      <c r="D730" s="762"/>
      <c r="E730" s="762" t="s">
        <v>309</v>
      </c>
      <c r="F730" s="762"/>
      <c r="G730" s="188"/>
      <c r="H730" s="763" t="s">
        <v>35</v>
      </c>
      <c r="I730" s="764"/>
      <c r="J730" s="214">
        <v>0</v>
      </c>
      <c r="K730" s="497"/>
      <c r="L730" s="765"/>
      <c r="M730" s="497"/>
      <c r="N730" s="765"/>
      <c r="O730" s="497"/>
      <c r="P730" s="497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>
      <c r="A731" s="743"/>
      <c r="B731" s="762"/>
      <c r="C731" s="762"/>
      <c r="D731" s="762"/>
      <c r="E731" s="762"/>
      <c r="F731" s="762"/>
      <c r="G731" s="188"/>
      <c r="H731" s="763" t="s">
        <v>34</v>
      </c>
      <c r="I731" s="764"/>
      <c r="J731" s="214">
        <v>0</v>
      </c>
      <c r="K731" s="497"/>
      <c r="L731" s="765"/>
      <c r="M731" s="497"/>
      <c r="N731" s="765"/>
      <c r="O731" s="497"/>
      <c r="P731" s="497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>
      <c r="A732" s="743"/>
      <c r="B732" s="762"/>
      <c r="C732" s="762"/>
      <c r="D732" s="762"/>
      <c r="E732" s="762"/>
      <c r="F732" s="762"/>
      <c r="G732" s="188"/>
      <c r="H732" s="763" t="s">
        <v>46</v>
      </c>
      <c r="I732" s="764"/>
      <c r="J732" s="214">
        <v>0</v>
      </c>
      <c r="K732" s="497"/>
      <c r="L732" s="765"/>
      <c r="M732" s="497"/>
      <c r="N732" s="765"/>
      <c r="O732" s="497"/>
      <c r="P732" s="497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>
      <c r="A733" s="743"/>
      <c r="B733" s="762"/>
      <c r="C733" s="762"/>
      <c r="D733" s="762"/>
      <c r="E733" s="762" t="s">
        <v>310</v>
      </c>
      <c r="F733" s="762"/>
      <c r="G733" s="188"/>
      <c r="H733" s="763" t="s">
        <v>35</v>
      </c>
      <c r="I733" s="764"/>
      <c r="J733" s="214">
        <v>0</v>
      </c>
      <c r="K733" s="497"/>
      <c r="L733" s="765"/>
      <c r="M733" s="497"/>
      <c r="N733" s="765"/>
      <c r="O733" s="497"/>
      <c r="P733" s="497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>
      <c r="A734" s="743"/>
      <c r="B734" s="762"/>
      <c r="C734" s="762"/>
      <c r="D734" s="762"/>
      <c r="E734" s="762"/>
      <c r="F734" s="762"/>
      <c r="G734" s="188"/>
      <c r="H734" s="763" t="s">
        <v>34</v>
      </c>
      <c r="I734" s="764"/>
      <c r="J734" s="214">
        <v>0</v>
      </c>
      <c r="K734" s="497"/>
      <c r="L734" s="765"/>
      <c r="M734" s="497"/>
      <c r="N734" s="765"/>
      <c r="O734" s="497"/>
      <c r="P734" s="497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>
      <c r="A735" s="769"/>
      <c r="B735" s="770" t="s">
        <v>311</v>
      </c>
      <c r="C735" s="733"/>
      <c r="D735" s="733"/>
      <c r="E735" s="733"/>
      <c r="F735" s="733"/>
      <c r="G735" s="734"/>
      <c r="H735" s="422" t="s">
        <v>46</v>
      </c>
      <c r="I735" s="771"/>
      <c r="J735" s="424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312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92" t="s">
        <v>17</v>
      </c>
      <c r="E737" s="888"/>
      <c r="F737" s="888"/>
      <c r="G737" s="602"/>
      <c r="H737" s="645" t="s">
        <v>12</v>
      </c>
      <c r="I737" s="616"/>
      <c r="J737" s="616"/>
      <c r="K737" s="92"/>
      <c r="L737" s="646">
        <f>L738+L739</f>
        <v>0</v>
      </c>
      <c r="M737" s="646">
        <f>M738+M739</f>
        <v>0</v>
      </c>
      <c r="N737" s="646">
        <f>N738+N739</f>
        <v>0</v>
      </c>
      <c r="O737" s="646">
        <f t="shared" ref="O737:O742" si="98">IF(L737&gt;0,N737*100/L737,0)</f>
        <v>0</v>
      </c>
      <c r="P737" s="646">
        <f t="shared" ref="P737:P742" si="99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184</v>
      </c>
      <c r="F738" s="758"/>
      <c r="G738" s="602"/>
      <c r="H738" s="164" t="s">
        <v>12</v>
      </c>
      <c r="I738" s="616"/>
      <c r="J738" s="616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185</v>
      </c>
      <c r="F739" s="758"/>
      <c r="G739" s="602"/>
      <c r="H739" s="164" t="s">
        <v>12</v>
      </c>
      <c r="I739" s="616"/>
      <c r="J739" s="616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5"/>
      <c r="J740" s="165"/>
      <c r="K740" s="166"/>
      <c r="L740" s="646">
        <f>L741+L742</f>
        <v>0</v>
      </c>
      <c r="M740" s="646">
        <f>M741+M742</f>
        <v>0</v>
      </c>
      <c r="N740" s="646">
        <f>N741+N742</f>
        <v>0</v>
      </c>
      <c r="O740" s="646">
        <f t="shared" si="98"/>
        <v>0</v>
      </c>
      <c r="P740" s="646">
        <f t="shared" si="99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184</v>
      </c>
      <c r="F741" s="758"/>
      <c r="G741" s="602"/>
      <c r="H741" s="164" t="s">
        <v>12</v>
      </c>
      <c r="I741" s="616"/>
      <c r="J741" s="616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185</v>
      </c>
      <c r="F742" s="758"/>
      <c r="G742" s="602"/>
      <c r="H742" s="164" t="s">
        <v>12</v>
      </c>
      <c r="I742" s="616"/>
      <c r="J742" s="616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186</v>
      </c>
      <c r="G743" s="602"/>
      <c r="H743" s="164" t="s">
        <v>12</v>
      </c>
      <c r="I743" s="616"/>
      <c r="J743" s="616"/>
      <c r="K743" s="92"/>
      <c r="L743" s="92"/>
      <c r="M743" s="92"/>
      <c r="N743" s="92"/>
      <c r="O743" s="92"/>
      <c r="P743" s="92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187</v>
      </c>
      <c r="G744" s="602"/>
      <c r="H744" s="164" t="s">
        <v>12</v>
      </c>
      <c r="I744" s="616"/>
      <c r="J744" s="616"/>
      <c r="K744" s="92"/>
      <c r="L744" s="92"/>
      <c r="M744" s="92"/>
      <c r="N744" s="92"/>
      <c r="O744" s="92"/>
      <c r="P744" s="92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188</v>
      </c>
      <c r="G745" s="602"/>
      <c r="H745" s="164" t="s">
        <v>12</v>
      </c>
      <c r="I745" s="616"/>
      <c r="J745" s="616"/>
      <c r="K745" s="92"/>
      <c r="L745" s="92"/>
      <c r="M745" s="92"/>
      <c r="N745" s="92"/>
      <c r="O745" s="92"/>
      <c r="P745" s="92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189</v>
      </c>
      <c r="G746" s="602"/>
      <c r="H746" s="164" t="s">
        <v>12</v>
      </c>
      <c r="I746" s="616"/>
      <c r="J746" s="616"/>
      <c r="K746" s="92"/>
      <c r="L746" s="92"/>
      <c r="M746" s="92"/>
      <c r="N746" s="92"/>
      <c r="O746" s="92"/>
      <c r="P746" s="92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5"/>
      <c r="J747" s="165"/>
      <c r="K747" s="166"/>
      <c r="L747" s="646">
        <f>L748+L749</f>
        <v>0</v>
      </c>
      <c r="M747" s="646">
        <f>M748+M749</f>
        <v>0</v>
      </c>
      <c r="N747" s="646">
        <f>N748+N749</f>
        <v>0</v>
      </c>
      <c r="O747" s="646">
        <f>IF(L747&gt;0,N747*100/L747,0)</f>
        <v>0</v>
      </c>
      <c r="P747" s="646">
        <f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39" t="s">
        <v>38</v>
      </c>
      <c r="E750" s="650"/>
      <c r="F750" s="650"/>
      <c r="G750" s="651"/>
      <c r="H750" s="365"/>
      <c r="I750" s="165"/>
      <c r="J750" s="165"/>
      <c r="K750" s="166"/>
      <c r="L750" s="166"/>
      <c r="M750" s="166"/>
      <c r="N750" s="166"/>
      <c r="O750" s="166"/>
      <c r="P750" s="166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313</v>
      </c>
      <c r="F751" s="758"/>
      <c r="G751" s="602"/>
      <c r="H751" s="164" t="s">
        <v>46</v>
      </c>
      <c r="I751" s="616"/>
      <c r="J751" s="616"/>
      <c r="K751" s="92"/>
      <c r="L751" s="92"/>
      <c r="M751" s="92"/>
      <c r="N751" s="92"/>
      <c r="O751" s="92"/>
      <c r="P751" s="92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4" t="s">
        <v>314</v>
      </c>
      <c r="I752" s="616"/>
      <c r="J752" s="616"/>
      <c r="K752" s="92"/>
      <c r="L752" s="92"/>
      <c r="M752" s="92"/>
      <c r="N752" s="92"/>
      <c r="O752" s="92"/>
      <c r="P752" s="92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315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92" t="s">
        <v>17</v>
      </c>
      <c r="E754" s="888"/>
      <c r="F754" s="888"/>
      <c r="G754" s="602"/>
      <c r="H754" s="645" t="s">
        <v>12</v>
      </c>
      <c r="I754" s="616"/>
      <c r="J754" s="616"/>
      <c r="K754" s="92"/>
      <c r="L754" s="646">
        <f>L755+L756</f>
        <v>0</v>
      </c>
      <c r="M754" s="646">
        <f>M755+M756</f>
        <v>0</v>
      </c>
      <c r="N754" s="646">
        <f>N755+N756</f>
        <v>0</v>
      </c>
      <c r="O754" s="646">
        <f t="shared" ref="O754:O759" si="101">IF(L754&gt;0,N754*100/L754,0)</f>
        <v>0</v>
      </c>
      <c r="P754" s="646">
        <f t="shared" ref="P754:P759" si="102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184</v>
      </c>
      <c r="F755" s="758"/>
      <c r="G755" s="602"/>
      <c r="H755" s="164" t="s">
        <v>12</v>
      </c>
      <c r="I755" s="616"/>
      <c r="J755" s="616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185</v>
      </c>
      <c r="F756" s="758"/>
      <c r="G756" s="602"/>
      <c r="H756" s="164" t="s">
        <v>12</v>
      </c>
      <c r="I756" s="616"/>
      <c r="J756" s="616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5"/>
      <c r="J757" s="165"/>
      <c r="K757" s="166"/>
      <c r="L757" s="646">
        <f>L758+L759</f>
        <v>0</v>
      </c>
      <c r="M757" s="646">
        <f>M758+M759</f>
        <v>0</v>
      </c>
      <c r="N757" s="646">
        <f>N758+N759</f>
        <v>0</v>
      </c>
      <c r="O757" s="646">
        <f t="shared" si="101"/>
        <v>0</v>
      </c>
      <c r="P757" s="646">
        <f t="shared" si="102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184</v>
      </c>
      <c r="F758" s="758"/>
      <c r="G758" s="602"/>
      <c r="H758" s="164" t="s">
        <v>12</v>
      </c>
      <c r="I758" s="616"/>
      <c r="J758" s="616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185</v>
      </c>
      <c r="F759" s="758"/>
      <c r="G759" s="602"/>
      <c r="H759" s="164" t="s">
        <v>12</v>
      </c>
      <c r="I759" s="616"/>
      <c r="J759" s="616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186</v>
      </c>
      <c r="G760" s="602"/>
      <c r="H760" s="164" t="s">
        <v>12</v>
      </c>
      <c r="I760" s="616"/>
      <c r="J760" s="616"/>
      <c r="K760" s="92"/>
      <c r="L760" s="92"/>
      <c r="M760" s="92"/>
      <c r="N760" s="92"/>
      <c r="O760" s="92"/>
      <c r="P760" s="92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187</v>
      </c>
      <c r="G761" s="602"/>
      <c r="H761" s="164" t="s">
        <v>12</v>
      </c>
      <c r="I761" s="616"/>
      <c r="J761" s="616"/>
      <c r="K761" s="92"/>
      <c r="L761" s="92"/>
      <c r="M761" s="92"/>
      <c r="N761" s="92"/>
      <c r="O761" s="92"/>
      <c r="P761" s="92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188</v>
      </c>
      <c r="G762" s="602"/>
      <c r="H762" s="164" t="s">
        <v>12</v>
      </c>
      <c r="I762" s="616"/>
      <c r="J762" s="616"/>
      <c r="K762" s="92"/>
      <c r="L762" s="92"/>
      <c r="M762" s="92"/>
      <c r="N762" s="92"/>
      <c r="O762" s="92"/>
      <c r="P762" s="92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189</v>
      </c>
      <c r="G763" s="602"/>
      <c r="H763" s="164" t="s">
        <v>12</v>
      </c>
      <c r="I763" s="616"/>
      <c r="J763" s="616"/>
      <c r="K763" s="92"/>
      <c r="L763" s="92"/>
      <c r="M763" s="92"/>
      <c r="N763" s="92"/>
      <c r="O763" s="92"/>
      <c r="P763" s="92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5"/>
      <c r="J764" s="165"/>
      <c r="K764" s="166"/>
      <c r="L764" s="646">
        <f>L765+L766</f>
        <v>0</v>
      </c>
      <c r="M764" s="646">
        <f>M765+M766</f>
        <v>0</v>
      </c>
      <c r="N764" s="646">
        <f>N765+N766</f>
        <v>0</v>
      </c>
      <c r="O764" s="646">
        <f>IF(L764&gt;0,N764*100/L764,0)</f>
        <v>0</v>
      </c>
      <c r="P764" s="646">
        <f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39" t="s">
        <v>38</v>
      </c>
      <c r="E767" s="650"/>
      <c r="F767" s="650"/>
      <c r="G767" s="651"/>
      <c r="H767" s="365"/>
      <c r="I767" s="165"/>
      <c r="J767" s="165"/>
      <c r="K767" s="166"/>
      <c r="L767" s="166"/>
      <c r="M767" s="166"/>
      <c r="N767" s="166"/>
      <c r="O767" s="166"/>
      <c r="P767" s="166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316</v>
      </c>
      <c r="F768" s="758"/>
      <c r="G768" s="602"/>
      <c r="H768" s="164" t="s">
        <v>46</v>
      </c>
      <c r="I768" s="616"/>
      <c r="J768" s="616"/>
      <c r="K768" s="92"/>
      <c r="L768" s="92"/>
      <c r="M768" s="92"/>
      <c r="N768" s="92"/>
      <c r="O768" s="92"/>
      <c r="P768" s="92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317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92" t="s">
        <v>17</v>
      </c>
      <c r="E770" s="888"/>
      <c r="F770" s="888"/>
      <c r="G770" s="602"/>
      <c r="H770" s="645" t="s">
        <v>12</v>
      </c>
      <c r="I770" s="616"/>
      <c r="J770" s="616"/>
      <c r="K770" s="92"/>
      <c r="L770" s="646">
        <f>L771+L772</f>
        <v>0</v>
      </c>
      <c r="M770" s="646">
        <f>M771+M772</f>
        <v>0</v>
      </c>
      <c r="N770" s="646">
        <f>N771+N772</f>
        <v>0</v>
      </c>
      <c r="O770" s="646">
        <f t="shared" ref="O770:O775" si="104">IF(L770&gt;0,N770*100/L770,0)</f>
        <v>0</v>
      </c>
      <c r="P770" s="646">
        <f t="shared" ref="P770:P775" si="105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184</v>
      </c>
      <c r="F771" s="758"/>
      <c r="G771" s="602"/>
      <c r="H771" s="164" t="s">
        <v>12</v>
      </c>
      <c r="I771" s="616"/>
      <c r="J771" s="616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185</v>
      </c>
      <c r="F772" s="758"/>
      <c r="G772" s="602"/>
      <c r="H772" s="164" t="s">
        <v>12</v>
      </c>
      <c r="I772" s="616"/>
      <c r="J772" s="616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5"/>
      <c r="J773" s="165"/>
      <c r="K773" s="166"/>
      <c r="L773" s="646">
        <f>L774+L775</f>
        <v>0</v>
      </c>
      <c r="M773" s="646">
        <f>M774+M775</f>
        <v>0</v>
      </c>
      <c r="N773" s="646">
        <f>N774+N775</f>
        <v>0</v>
      </c>
      <c r="O773" s="646">
        <f t="shared" si="104"/>
        <v>0</v>
      </c>
      <c r="P773" s="646">
        <f t="shared" si="105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184</v>
      </c>
      <c r="F774" s="758"/>
      <c r="G774" s="602"/>
      <c r="H774" s="164" t="s">
        <v>12</v>
      </c>
      <c r="I774" s="616"/>
      <c r="J774" s="616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185</v>
      </c>
      <c r="F775" s="758"/>
      <c r="G775" s="602"/>
      <c r="H775" s="164" t="s">
        <v>12</v>
      </c>
      <c r="I775" s="616"/>
      <c r="J775" s="616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186</v>
      </c>
      <c r="G776" s="602"/>
      <c r="H776" s="164" t="s">
        <v>12</v>
      </c>
      <c r="I776" s="616"/>
      <c r="J776" s="616"/>
      <c r="K776" s="92"/>
      <c r="L776" s="92"/>
      <c r="M776" s="92"/>
      <c r="N776" s="92"/>
      <c r="O776" s="92"/>
      <c r="P776" s="92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187</v>
      </c>
      <c r="G777" s="602"/>
      <c r="H777" s="164" t="s">
        <v>12</v>
      </c>
      <c r="I777" s="616"/>
      <c r="J777" s="616"/>
      <c r="K777" s="92"/>
      <c r="L777" s="92"/>
      <c r="M777" s="92"/>
      <c r="N777" s="92"/>
      <c r="O777" s="92"/>
      <c r="P777" s="92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188</v>
      </c>
      <c r="G778" s="602"/>
      <c r="H778" s="164" t="s">
        <v>12</v>
      </c>
      <c r="I778" s="616"/>
      <c r="J778" s="616"/>
      <c r="K778" s="92"/>
      <c r="L778" s="92"/>
      <c r="M778" s="92"/>
      <c r="N778" s="92"/>
      <c r="O778" s="92"/>
      <c r="P778" s="92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189</v>
      </c>
      <c r="G779" s="602"/>
      <c r="H779" s="164" t="s">
        <v>12</v>
      </c>
      <c r="I779" s="616"/>
      <c r="J779" s="616"/>
      <c r="K779" s="92"/>
      <c r="L779" s="92"/>
      <c r="M779" s="92"/>
      <c r="N779" s="92"/>
      <c r="O779" s="92"/>
      <c r="P779" s="92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5"/>
      <c r="J780" s="165"/>
      <c r="K780" s="166"/>
      <c r="L780" s="646">
        <f>L781+L782</f>
        <v>0</v>
      </c>
      <c r="M780" s="646">
        <f>M781+M782</f>
        <v>0</v>
      </c>
      <c r="N780" s="646">
        <f>N781+N782</f>
        <v>0</v>
      </c>
      <c r="O780" s="646">
        <f>IF(L780&gt;0,N780*100/L780,0)</f>
        <v>0</v>
      </c>
      <c r="P780" s="646">
        <f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39" t="s">
        <v>38</v>
      </c>
      <c r="E783" s="650"/>
      <c r="F783" s="650"/>
      <c r="G783" s="651"/>
      <c r="H783" s="800"/>
      <c r="I783" s="165"/>
      <c r="J783" s="165"/>
      <c r="K783" s="166"/>
      <c r="L783" s="166"/>
      <c r="M783" s="166"/>
      <c r="N783" s="166"/>
      <c r="O783" s="166"/>
      <c r="P783" s="166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318</v>
      </c>
      <c r="F784" s="758"/>
      <c r="G784" s="602"/>
      <c r="H784" s="164" t="s">
        <v>46</v>
      </c>
      <c r="I784" s="616"/>
      <c r="J784" s="616"/>
      <c r="K784" s="92"/>
      <c r="L784" s="92"/>
      <c r="M784" s="92"/>
      <c r="N784" s="92"/>
      <c r="O784" s="92"/>
      <c r="P784" s="92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319</v>
      </c>
      <c r="C785" s="803"/>
      <c r="D785" s="803"/>
      <c r="E785" s="803"/>
      <c r="F785" s="803"/>
      <c r="G785" s="804"/>
      <c r="H785" s="805" t="s">
        <v>46</v>
      </c>
      <c r="I785" s="806">
        <f ca="1">I800</f>
        <v>0</v>
      </c>
      <c r="J785" s="807">
        <f ca="1">J800</f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87" t="s">
        <v>17</v>
      </c>
      <c r="E786" s="888"/>
      <c r="F786" s="888"/>
      <c r="G786" s="188"/>
      <c r="H786" s="597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184</v>
      </c>
      <c r="F787" s="758"/>
      <c r="G787" s="602"/>
      <c r="H787" s="164" t="s">
        <v>12</v>
      </c>
      <c r="I787" s="616"/>
      <c r="J787" s="616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185</v>
      </c>
      <c r="F788" s="758"/>
      <c r="G788" s="602"/>
      <c r="H788" s="164" t="s">
        <v>12</v>
      </c>
      <c r="I788" s="616"/>
      <c r="J788" s="616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184</v>
      </c>
      <c r="F790" s="758"/>
      <c r="G790" s="602"/>
      <c r="H790" s="164" t="s">
        <v>12</v>
      </c>
      <c r="I790" s="616"/>
      <c r="J790" s="616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185</v>
      </c>
      <c r="F791" s="758"/>
      <c r="G791" s="602"/>
      <c r="H791" s="164" t="s">
        <v>12</v>
      </c>
      <c r="I791" s="616"/>
      <c r="J791" s="616"/>
      <c r="K791" s="92"/>
      <c r="L791" s="92">
        <f ca="1">IFERROR(__xludf.DUMMYFUNCTION("IMPORTRANGE(""https://docs.google.com/spreadsheets/d/1QqKyyYR6Q21VydFLVH3TRQUabQu_ym0Zz7PgGX0-kHA/edit?usp=sharing"",""แผน!JJ81"")"),0)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826">
        <v>0</v>
      </c>
      <c r="O792" s="497"/>
      <c r="P792" s="497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826">
        <v>0</v>
      </c>
      <c r="O793" s="497"/>
      <c r="P793" s="497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826">
        <v>0</v>
      </c>
      <c r="O794" s="497"/>
      <c r="P794" s="497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826">
        <v>0</v>
      </c>
      <c r="O795" s="497"/>
      <c r="P795" s="497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38" t="s">
        <v>38</v>
      </c>
      <c r="E799" s="760"/>
      <c r="F799" s="760"/>
      <c r="G799" s="612"/>
      <c r="H799" s="810"/>
      <c r="I799" s="183"/>
      <c r="J799" s="183"/>
      <c r="K799" s="162"/>
      <c r="L799" s="162"/>
      <c r="M799" s="162"/>
      <c r="N799" s="162"/>
      <c r="O799" s="162"/>
      <c r="P799" s="162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320</v>
      </c>
      <c r="G800" s="761"/>
      <c r="H800" s="184" t="s">
        <v>46</v>
      </c>
      <c r="I800" s="183">
        <f ca="1">IFERROR(__xludf.DUMMYFUNCTION("IMPORTRANGE(""https://docs.google.com/spreadsheets/d/1QqKyyYR6Q21VydFLVH3TRQUabQu_ym0Zz7PgGX0-kHA/edit?usp=sharing"",""แผน!JN81"")"),0)</f>
        <v>0</v>
      </c>
      <c r="J800" s="183">
        <f ca="1">IFERROR(__xludf.DUMMYFUNCTION("IMPORTRANGE(""https://docs.google.com/spreadsheets/d/1MaWodYyGHDf7siQLGxnXhG4mBNTNIuy296niS2xXulU/edit?usp=sharing"",""RTK!H81"")"),0)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IFERROR(__xludf.DUMMYFUNCTION("IMPORTRANGE(""https://docs.google.com/spreadsheets/d/1MaWodYyGHDf7siQLGxnXhG4mBNTNIuy296niS2xXulU/edit?usp=sharing"",""RTK!I81"")"),0)</f>
        <v>0</v>
      </c>
      <c r="K801" s="497"/>
      <c r="L801" s="497"/>
      <c r="M801" s="497"/>
      <c r="N801" s="497"/>
      <c r="O801" s="162"/>
      <c r="P801" s="162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321</v>
      </c>
      <c r="G802" s="365"/>
      <c r="H802" s="652" t="s">
        <v>46</v>
      </c>
      <c r="I802" s="165"/>
      <c r="J802" s="616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5"/>
      <c r="H803" s="652" t="s">
        <v>34</v>
      </c>
      <c r="I803" s="165"/>
      <c r="J803" s="616">
        <v>0</v>
      </c>
      <c r="K803" s="166"/>
      <c r="L803" s="166"/>
      <c r="M803" s="166"/>
      <c r="N803" s="166"/>
      <c r="O803" s="166"/>
      <c r="P803" s="166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322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92" t="s">
        <v>17</v>
      </c>
      <c r="E805" s="888"/>
      <c r="F805" s="888"/>
      <c r="G805" s="602"/>
      <c r="H805" s="645" t="s">
        <v>12</v>
      </c>
      <c r="I805" s="616"/>
      <c r="J805" s="616"/>
      <c r="K805" s="92"/>
      <c r="L805" s="646">
        <f>L806+L807</f>
        <v>0</v>
      </c>
      <c r="M805" s="646">
        <f>M806+M807</f>
        <v>0</v>
      </c>
      <c r="N805" s="646">
        <f>N806+N807</f>
        <v>0</v>
      </c>
      <c r="O805" s="646">
        <f t="shared" ref="O805:O810" si="110">IF(L805&gt;0,N805*100/L805,0)</f>
        <v>0</v>
      </c>
      <c r="P805" s="646">
        <f t="shared" ref="P805:P810" si="111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184</v>
      </c>
      <c r="F806" s="758"/>
      <c r="G806" s="602"/>
      <c r="H806" s="164" t="s">
        <v>12</v>
      </c>
      <c r="I806" s="616"/>
      <c r="J806" s="616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185</v>
      </c>
      <c r="F807" s="758"/>
      <c r="G807" s="602"/>
      <c r="H807" s="164" t="s">
        <v>12</v>
      </c>
      <c r="I807" s="616"/>
      <c r="J807" s="616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912" t="s">
        <v>20</v>
      </c>
      <c r="E808" s="888"/>
      <c r="F808" s="888"/>
      <c r="G808" s="602"/>
      <c r="H808" s="645" t="s">
        <v>12</v>
      </c>
      <c r="I808" s="165"/>
      <c r="J808" s="165"/>
      <c r="K808" s="166"/>
      <c r="L808" s="646">
        <f>L809+L810</f>
        <v>0</v>
      </c>
      <c r="M808" s="646">
        <f>M809+M810</f>
        <v>0</v>
      </c>
      <c r="N808" s="646">
        <f>N809+N810</f>
        <v>0</v>
      </c>
      <c r="O808" s="646">
        <f t="shared" si="110"/>
        <v>0</v>
      </c>
      <c r="P808" s="646">
        <f t="shared" si="111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184</v>
      </c>
      <c r="F809" s="758"/>
      <c r="G809" s="602"/>
      <c r="H809" s="164" t="s">
        <v>12</v>
      </c>
      <c r="I809" s="616"/>
      <c r="J809" s="616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185</v>
      </c>
      <c r="F810" s="758"/>
      <c r="G810" s="602"/>
      <c r="H810" s="164" t="s">
        <v>12</v>
      </c>
      <c r="I810" s="616"/>
      <c r="J810" s="616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186</v>
      </c>
      <c r="G811" s="602"/>
      <c r="H811" s="164" t="s">
        <v>12</v>
      </c>
      <c r="I811" s="616"/>
      <c r="J811" s="616"/>
      <c r="K811" s="92"/>
      <c r="L811" s="92"/>
      <c r="M811" s="92"/>
      <c r="N811" s="92"/>
      <c r="O811" s="92"/>
      <c r="P811" s="92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187</v>
      </c>
      <c r="G812" s="602"/>
      <c r="H812" s="164" t="s">
        <v>12</v>
      </c>
      <c r="I812" s="616"/>
      <c r="J812" s="616"/>
      <c r="K812" s="92"/>
      <c r="L812" s="92"/>
      <c r="M812" s="92"/>
      <c r="N812" s="92"/>
      <c r="O812" s="92"/>
      <c r="P812" s="92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188</v>
      </c>
      <c r="G813" s="602"/>
      <c r="H813" s="164" t="s">
        <v>12</v>
      </c>
      <c r="I813" s="616"/>
      <c r="J813" s="616"/>
      <c r="K813" s="92"/>
      <c r="L813" s="92"/>
      <c r="M813" s="92"/>
      <c r="N813" s="92"/>
      <c r="O813" s="92"/>
      <c r="P813" s="92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189</v>
      </c>
      <c r="G814" s="602"/>
      <c r="H814" s="164" t="s">
        <v>12</v>
      </c>
      <c r="I814" s="616"/>
      <c r="J814" s="616"/>
      <c r="K814" s="92"/>
      <c r="L814" s="92"/>
      <c r="M814" s="92"/>
      <c r="N814" s="92"/>
      <c r="O814" s="92"/>
      <c r="P814" s="92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912" t="s">
        <v>21</v>
      </c>
      <c r="E815" s="888"/>
      <c r="F815" s="888"/>
      <c r="G815" s="602"/>
      <c r="H815" s="782" t="s">
        <v>12</v>
      </c>
      <c r="I815" s="165"/>
      <c r="J815" s="165"/>
      <c r="K815" s="166"/>
      <c r="L815" s="646">
        <f>L816+L817</f>
        <v>0</v>
      </c>
      <c r="M815" s="646">
        <f>M816+M817</f>
        <v>0</v>
      </c>
      <c r="N815" s="646">
        <f>N816+N817</f>
        <v>0</v>
      </c>
      <c r="O815" s="646">
        <f>IF(L815&gt;0,N815*100/L815,0)</f>
        <v>0</v>
      </c>
      <c r="P815" s="646">
        <f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37" t="s">
        <v>38</v>
      </c>
      <c r="E818" s="650"/>
      <c r="F818" s="650"/>
      <c r="G818" s="651"/>
      <c r="H818" s="365"/>
      <c r="I818" s="165"/>
      <c r="J818" s="165"/>
      <c r="K818" s="166"/>
      <c r="L818" s="166"/>
      <c r="M818" s="166"/>
      <c r="N818" s="166"/>
      <c r="O818" s="166"/>
      <c r="P818" s="166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323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36" t="s">
        <v>340</v>
      </c>
      <c r="B820" s="834"/>
      <c r="C820" s="834"/>
      <c r="D820" s="835"/>
      <c r="E820" s="834"/>
      <c r="F820" s="834"/>
      <c r="G820" s="833"/>
      <c r="H820" s="832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1"/>
      <c r="J820" s="831"/>
      <c r="K820" s="830"/>
      <c r="L820" s="830"/>
      <c r="M820" s="830"/>
      <c r="N820" s="830"/>
      <c r="O820" s="830"/>
      <c r="P820" s="83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325</v>
      </c>
      <c r="C821" s="762"/>
      <c r="D821" s="574"/>
      <c r="E821" s="762"/>
      <c r="F821" s="762"/>
      <c r="G821" s="188"/>
      <c r="H821" s="622" t="s">
        <v>12</v>
      </c>
      <c r="I821" s="269">
        <f ca="1">IFERROR(__xludf.DUMMYFUNCTION("IMPORTRANGE(""https://docs.google.com/spreadsheets/d/19vJNZY_5yjcGF2XGBMNZRCAIB0Kwfpjp8YEOfu-bneM/edit?usp=sharing"",""งานกองทุน!D81"")"),1239835.02)</f>
        <v>1239835.02</v>
      </c>
      <c r="J821" s="269">
        <f ca="1">IFERROR(__xludf.DUMMYFUNCTION("IMPORTRANGE(""https://docs.google.com/spreadsheets/d/19vJNZY_5yjcGF2XGBMNZRCAIB0Kwfpjp8YEOfu-bneM/edit?usp=sharing"",""งานกองทุน!F81"")"),1169635.2)</f>
        <v>1169635.2</v>
      </c>
      <c r="K821" s="497">
        <f t="shared" ref="K821:K828" ca="1" si="113">IF(I821&gt;0,J821*100/I821,0)</f>
        <v>94.337970869704904</v>
      </c>
      <c r="L821" s="497"/>
      <c r="M821" s="497"/>
      <c r="N821" s="497"/>
      <c r="O821" s="497"/>
      <c r="P821" s="497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8"/>
      <c r="H822" s="622" t="s">
        <v>35</v>
      </c>
      <c r="I822" s="269">
        <f ca="1">IFERROR(__xludf.DUMMYFUNCTION("IMPORTRANGE(""https://docs.google.com/spreadsheets/d/19vJNZY_5yjcGF2XGBMNZRCAIB0Kwfpjp8YEOfu-bneM/edit?usp=sharing"",""งานกองทุน!C81"")"),93)</f>
        <v>93</v>
      </c>
      <c r="J822" s="269">
        <f ca="1">IFERROR(__xludf.DUMMYFUNCTION("IMPORTRANGE(""https://docs.google.com/spreadsheets/d/19vJNZY_5yjcGF2XGBMNZRCAIB0Kwfpjp8YEOfu-bneM/edit?usp=sharing"",""งานกองทุน!E81"")"),93)</f>
        <v>93</v>
      </c>
      <c r="K822" s="497">
        <f t="shared" ca="1" si="113"/>
        <v>100</v>
      </c>
      <c r="L822" s="497"/>
      <c r="M822" s="497"/>
      <c r="N822" s="497"/>
      <c r="O822" s="497"/>
      <c r="P822" s="497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326</v>
      </c>
      <c r="C823" s="762"/>
      <c r="D823" s="574"/>
      <c r="E823" s="762"/>
      <c r="F823" s="762"/>
      <c r="G823" s="188"/>
      <c r="H823" s="622" t="s">
        <v>12</v>
      </c>
      <c r="I823" s="269">
        <f ca="1">IFERROR(__xludf.DUMMYFUNCTION("IMPORTRANGE(""https://docs.google.com/spreadsheets/d/19vJNZY_5yjcGF2XGBMNZRCAIB0Kwfpjp8YEOfu-bneM/edit?usp=sharing"",""งานกองทุน!I81"")"),263191.16)</f>
        <v>263191.15999999997</v>
      </c>
      <c r="J823" s="269">
        <f ca="1">IFERROR(__xludf.DUMMYFUNCTION("IMPORTRANGE(""https://docs.google.com/spreadsheets/d/19vJNZY_5yjcGF2XGBMNZRCAIB0Kwfpjp8YEOfu-bneM/edit?usp=sharing"",""งานกองทุน!K81"")"),70381.83)</f>
        <v>70381.83</v>
      </c>
      <c r="K823" s="497">
        <f t="shared" ca="1" si="113"/>
        <v>26.741715033286074</v>
      </c>
      <c r="L823" s="497"/>
      <c r="M823" s="497"/>
      <c r="N823" s="497"/>
      <c r="O823" s="497"/>
      <c r="P823" s="497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8"/>
      <c r="H824" s="622" t="s">
        <v>35</v>
      </c>
      <c r="I824" s="269">
        <f ca="1">IFERROR(__xludf.DUMMYFUNCTION("IMPORTRANGE(""https://docs.google.com/spreadsheets/d/19vJNZY_5yjcGF2XGBMNZRCAIB0Kwfpjp8YEOfu-bneM/edit?usp=sharing"",""งานกองทุน!H81"")"),11)</f>
        <v>11</v>
      </c>
      <c r="J824" s="269">
        <f ca="1">IFERROR(__xludf.DUMMYFUNCTION("IMPORTRANGE(""https://docs.google.com/spreadsheets/d/19vJNZY_5yjcGF2XGBMNZRCAIB0Kwfpjp8YEOfu-bneM/edit?usp=sharing"",""งานกองทุน!J81"")"),7)</f>
        <v>7</v>
      </c>
      <c r="K824" s="497">
        <f t="shared" ca="1" si="113"/>
        <v>63.636363636363633</v>
      </c>
      <c r="L824" s="497"/>
      <c r="M824" s="497"/>
      <c r="N824" s="497"/>
      <c r="O824" s="497"/>
      <c r="P824" s="497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327</v>
      </c>
      <c r="C825" s="762"/>
      <c r="D825" s="574"/>
      <c r="E825" s="762"/>
      <c r="F825" s="762"/>
      <c r="G825" s="188"/>
      <c r="H825" s="622" t="s">
        <v>12</v>
      </c>
      <c r="I825" s="269">
        <f ca="1">IFERROR(__xludf.DUMMYFUNCTION("IMPORTRANGE(""https://docs.google.com/spreadsheets/d/19vJNZY_5yjcGF2XGBMNZRCAIB0Kwfpjp8YEOfu-bneM/edit?usp=sharing"",""งานกองทุน!N81"")"),29366.44)</f>
        <v>29366.44</v>
      </c>
      <c r="J825" s="269">
        <f ca="1">IFERROR(__xludf.DUMMYFUNCTION("IMPORTRANGE(""https://docs.google.com/spreadsheets/d/19vJNZY_5yjcGF2XGBMNZRCAIB0Kwfpjp8YEOfu-bneM/edit?usp=sharing"",""งานกองทุน!P81"")"),23220.58)</f>
        <v>23220.58</v>
      </c>
      <c r="K825" s="497">
        <f t="shared" ca="1" si="113"/>
        <v>79.071824844959082</v>
      </c>
      <c r="L825" s="497"/>
      <c r="M825" s="497"/>
      <c r="N825" s="497"/>
      <c r="O825" s="497"/>
      <c r="P825" s="497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8"/>
      <c r="H826" s="622" t="s">
        <v>35</v>
      </c>
      <c r="I826" s="269">
        <f ca="1">IFERROR(__xludf.DUMMYFUNCTION("IMPORTRANGE(""https://docs.google.com/spreadsheets/d/19vJNZY_5yjcGF2XGBMNZRCAIB0Kwfpjp8YEOfu-bneM/edit?usp=sharing"",""งานกองทุน!M81"")"),51)</f>
        <v>51</v>
      </c>
      <c r="J826" s="269">
        <f ca="1">IFERROR(__xludf.DUMMYFUNCTION("IMPORTRANGE(""https://docs.google.com/spreadsheets/d/19vJNZY_5yjcGF2XGBMNZRCAIB0Kwfpjp8YEOfu-bneM/edit?usp=sharing"",""งานกองทุน!O81"")"),45)</f>
        <v>45</v>
      </c>
      <c r="K826" s="497">
        <f t="shared" ca="1" si="113"/>
        <v>88.235294117647058</v>
      </c>
      <c r="L826" s="497"/>
      <c r="M826" s="497"/>
      <c r="N826" s="497"/>
      <c r="O826" s="497"/>
      <c r="P826" s="497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328</v>
      </c>
      <c r="C827" s="762"/>
      <c r="D827" s="574"/>
      <c r="E827" s="762"/>
      <c r="F827" s="762"/>
      <c r="G827" s="188"/>
      <c r="H827" s="622" t="s">
        <v>12</v>
      </c>
      <c r="I827" s="269">
        <f ca="1">IFERROR(__xludf.DUMMYFUNCTION("IMPORTRANGE(""https://docs.google.com/spreadsheets/d/19vJNZY_5yjcGF2XGBMNZRCAIB0Kwfpjp8YEOfu-bneM/edit?usp=sharing"",""งานกองทุน!S81"")"),700000)</f>
        <v>700000</v>
      </c>
      <c r="J827" s="269">
        <f ca="1">IFERROR(__xludf.DUMMYFUNCTION("IMPORTRANGE(""https://docs.google.com/spreadsheets/d/19vJNZY_5yjcGF2XGBMNZRCAIB0Kwfpjp8YEOfu-bneM/edit?usp=sharing"",""งานกองทุน!U81"")"),750000)</f>
        <v>750000</v>
      </c>
      <c r="K827" s="497">
        <f t="shared" ca="1" si="113"/>
        <v>107.14285714285714</v>
      </c>
      <c r="L827" s="497"/>
      <c r="M827" s="497"/>
      <c r="N827" s="497"/>
      <c r="O827" s="497"/>
      <c r="P827" s="497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827"/>
      <c r="B828" s="748"/>
      <c r="C828" s="748"/>
      <c r="D828" s="747"/>
      <c r="E828" s="748"/>
      <c r="F828" s="748"/>
      <c r="G828" s="828"/>
      <c r="H828" s="829" t="s">
        <v>35</v>
      </c>
      <c r="I828" s="505">
        <f ca="1">IFERROR(__xludf.DUMMYFUNCTION("IMPORTRANGE(""https://docs.google.com/spreadsheets/d/19vJNZY_5yjcGF2XGBMNZRCAIB0Kwfpjp8YEOfu-bneM/edit?usp=sharing"",""งานกองทุน!R81"")"),28)</f>
        <v>28</v>
      </c>
      <c r="J828" s="505">
        <f ca="1">IFERROR(__xludf.DUMMYFUNCTION("IMPORTRANGE(""https://docs.google.com/spreadsheets/d/19vJNZY_5yjcGF2XGBMNZRCAIB0Kwfpjp8YEOfu-bneM/edit?usp=sharing"",""งานกองทุน!T81"")"),19)</f>
        <v>19</v>
      </c>
      <c r="K828" s="506">
        <f t="shared" ca="1" si="113"/>
        <v>67.857142857142861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 gridLines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793E5-3F7D-4D56-8789-42DD6F131391}">
  <sheetPr>
    <outlinePr summaryBelow="0" summaryRight="0"/>
    <pageSetUpPr fitToPage="1"/>
  </sheetPr>
  <dimension ref="A1:Z828"/>
  <sheetViews>
    <sheetView view="pageBreakPreview" zoomScale="50" zoomScaleNormal="10" zoomScaleSheetLayoutView="50" workbookViewId="0">
      <pane ySplit="6" topLeftCell="A7" activePane="bottomLeft" state="frozen"/>
      <selection activeCell="X18" sqref="X18:X21"/>
      <selection pane="bottomLeft" activeCell="X18" sqref="X18:X2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20.140625" bestFit="1" customWidth="1"/>
    <col min="16" max="16" width="22" bestFit="1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345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354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4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4634888</v>
      </c>
      <c r="M8" s="21">
        <f ca="1">M9+M10</f>
        <v>4657093.55</v>
      </c>
      <c r="N8" s="21">
        <f ca="1">N9+N10</f>
        <v>4713959.9799999995</v>
      </c>
      <c r="O8" s="21">
        <f t="shared" ref="O8:O16" ca="1" si="0">IF(L8&gt;0,N8*100/L8,0)</f>
        <v>101.7060170601749</v>
      </c>
      <c r="P8" s="21">
        <f t="shared" ref="P8:P16" ca="1" si="1">IF(M8&gt;0,N8*100/M8,0)</f>
        <v>101.22107124088154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4634888</v>
      </c>
      <c r="M10" s="29">
        <f t="shared" ca="1" si="2"/>
        <v>4657093.55</v>
      </c>
      <c r="N10" s="29">
        <f t="shared" ca="1" si="2"/>
        <v>4713959.9799999995</v>
      </c>
      <c r="O10" s="29">
        <f t="shared" ca="1" si="0"/>
        <v>101.7060170601749</v>
      </c>
      <c r="P10" s="29">
        <f t="shared" ca="1" si="1"/>
        <v>101.22107124088154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22" t="s">
        <v>12</v>
      </c>
      <c r="I11" s="269"/>
      <c r="J11" s="269"/>
      <c r="K11" s="497"/>
      <c r="L11" s="497">
        <f ca="1">L12+L13</f>
        <v>4280888</v>
      </c>
      <c r="M11" s="497">
        <f ca="1">M12+M13</f>
        <v>4303093.55</v>
      </c>
      <c r="N11" s="497">
        <f ca="1">N12+N13</f>
        <v>4303093.55</v>
      </c>
      <c r="O11" s="497">
        <f t="shared" ca="1" si="0"/>
        <v>100.51871364072127</v>
      </c>
      <c r="P11" s="497">
        <f t="shared" ca="1" si="1"/>
        <v>100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6"/>
      <c r="J12" s="616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6"/>
      <c r="J13" s="616"/>
      <c r="K13" s="92"/>
      <c r="L13" s="92">
        <f t="shared" ca="1" si="3"/>
        <v>4280888</v>
      </c>
      <c r="M13" s="92">
        <f t="shared" ca="1" si="3"/>
        <v>4303093.55</v>
      </c>
      <c r="N13" s="92">
        <f t="shared" ca="1" si="3"/>
        <v>4303093.55</v>
      </c>
      <c r="O13" s="92">
        <f t="shared" ca="1" si="0"/>
        <v>100.51871364072127</v>
      </c>
      <c r="P13" s="92">
        <f t="shared" ca="1" si="1"/>
        <v>100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22" t="s">
        <v>12</v>
      </c>
      <c r="I14" s="269"/>
      <c r="J14" s="269"/>
      <c r="K14" s="497"/>
      <c r="L14" s="497">
        <f ca="1">L15+L16</f>
        <v>354000</v>
      </c>
      <c r="M14" s="497">
        <f ca="1">M15+M16</f>
        <v>354000</v>
      </c>
      <c r="N14" s="497">
        <f ca="1">N15+N16</f>
        <v>410866.43</v>
      </c>
      <c r="O14" s="497">
        <f t="shared" ca="1" si="0"/>
        <v>116.06396327683616</v>
      </c>
      <c r="P14" s="497">
        <f t="shared" ca="1" si="1"/>
        <v>116.06396327683616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6"/>
      <c r="J15" s="616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354000</v>
      </c>
      <c r="M16" s="51">
        <f t="shared" ca="1" si="4"/>
        <v>354000</v>
      </c>
      <c r="N16" s="51">
        <f t="shared" ca="1" si="4"/>
        <v>410866.43</v>
      </c>
      <c r="O16" s="51">
        <f t="shared" ca="1" si="0"/>
        <v>116.06396327683616</v>
      </c>
      <c r="P16" s="51">
        <f t="shared" ca="1" si="1"/>
        <v>116.06396327683616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3400530</v>
      </c>
      <c r="M18" s="21">
        <f ca="1">M19+M20</f>
        <v>3494260.21</v>
      </c>
      <c r="N18" s="21">
        <f ca="1">N19+N20</f>
        <v>3551126.64</v>
      </c>
      <c r="O18" s="21">
        <f t="shared" ref="O18:O26" ca="1" si="5">IF(L18&gt;0,N18*100/L18,0)</f>
        <v>104.42862259706575</v>
      </c>
      <c r="P18" s="21">
        <f t="shared" ref="P18:P26" ca="1" si="6">IF(M18&gt;0,N18*100/M18,0)</f>
        <v>101.6274240206055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3400530</v>
      </c>
      <c r="M20" s="29">
        <f t="shared" ca="1" si="7"/>
        <v>3494260.21</v>
      </c>
      <c r="N20" s="29">
        <f t="shared" ca="1" si="7"/>
        <v>3551126.64</v>
      </c>
      <c r="O20" s="29">
        <f t="shared" ca="1" si="5"/>
        <v>104.42862259706575</v>
      </c>
      <c r="P20" s="29">
        <f t="shared" ca="1" si="6"/>
        <v>101.6274240206055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22" t="s">
        <v>12</v>
      </c>
      <c r="I21" s="269"/>
      <c r="J21" s="269"/>
      <c r="K21" s="497"/>
      <c r="L21" s="497">
        <f ca="1">L22+L23</f>
        <v>3046530</v>
      </c>
      <c r="M21" s="497">
        <f ca="1">M22+M23</f>
        <v>3140260.21</v>
      </c>
      <c r="N21" s="497">
        <f ca="1">N22+N23</f>
        <v>3140260.21</v>
      </c>
      <c r="O21" s="497">
        <f t="shared" ca="1" si="5"/>
        <v>103.07662192724182</v>
      </c>
      <c r="P21" s="497">
        <f t="shared" ca="1" si="6"/>
        <v>100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6"/>
      <c r="J22" s="616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6"/>
      <c r="J23" s="616"/>
      <c r="K23" s="92"/>
      <c r="L23" s="92">
        <f t="shared" ca="1" si="8"/>
        <v>3046530</v>
      </c>
      <c r="M23" s="92">
        <f t="shared" ca="1" si="8"/>
        <v>3140260.21</v>
      </c>
      <c r="N23" s="92">
        <f t="shared" ca="1" si="8"/>
        <v>3140260.21</v>
      </c>
      <c r="O23" s="92">
        <f t="shared" ca="1" si="5"/>
        <v>103.07662192724182</v>
      </c>
      <c r="P23" s="92">
        <f t="shared" ca="1" si="6"/>
        <v>100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22" t="s">
        <v>12</v>
      </c>
      <c r="I24" s="269"/>
      <c r="J24" s="269"/>
      <c r="K24" s="497"/>
      <c r="L24" s="497">
        <f ca="1">L25+L26</f>
        <v>354000</v>
      </c>
      <c r="M24" s="497">
        <f ca="1">M25+M26</f>
        <v>354000</v>
      </c>
      <c r="N24" s="497">
        <f ca="1">N25+N26</f>
        <v>410866.43</v>
      </c>
      <c r="O24" s="497">
        <f t="shared" ca="1" si="5"/>
        <v>116.06396327683616</v>
      </c>
      <c r="P24" s="497">
        <f t="shared" ca="1" si="6"/>
        <v>116.06396327683616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6"/>
      <c r="J25" s="616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354000</v>
      </c>
      <c r="M26" s="51">
        <f t="shared" ca="1" si="9"/>
        <v>354000</v>
      </c>
      <c r="N26" s="51">
        <f t="shared" ca="1" si="9"/>
        <v>410866.43</v>
      </c>
      <c r="O26" s="51">
        <f t="shared" ca="1" si="5"/>
        <v>116.06396327683616</v>
      </c>
      <c r="P26" s="51">
        <f t="shared" ca="1" si="6"/>
        <v>116.06396327683616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1234358</v>
      </c>
      <c r="M28" s="21">
        <f ca="1">M29+M30</f>
        <v>1162833.3399999999</v>
      </c>
      <c r="N28" s="21">
        <f>N29+N30</f>
        <v>1162833.3399999999</v>
      </c>
      <c r="O28" s="21">
        <f t="shared" ref="O28:O37" ca="1" si="10">IF(L28&gt;0,N28*100/L28,0)</f>
        <v>94.205517362061883</v>
      </c>
      <c r="P28" s="21">
        <f t="shared" ref="P28:P37" ca="1" si="11">IF(M28&gt;0,N28*100/M28,0)</f>
        <v>100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1234358</v>
      </c>
      <c r="M30" s="29">
        <f t="shared" ca="1" si="12"/>
        <v>1162833.3399999999</v>
      </c>
      <c r="N30" s="29">
        <f t="shared" si="12"/>
        <v>1162833.3399999999</v>
      </c>
      <c r="O30" s="29">
        <f t="shared" ca="1" si="10"/>
        <v>94.205517362061883</v>
      </c>
      <c r="P30" s="29">
        <f t="shared" ca="1" si="11"/>
        <v>100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22" t="s">
        <v>12</v>
      </c>
      <c r="I31" s="269"/>
      <c r="J31" s="269"/>
      <c r="K31" s="497"/>
      <c r="L31" s="497">
        <f ca="1">L32+L33</f>
        <v>1234358</v>
      </c>
      <c r="M31" s="497">
        <f ca="1">M32+M33</f>
        <v>1162833.3399999999</v>
      </c>
      <c r="N31" s="497">
        <f>N32+N33</f>
        <v>1162833.3399999999</v>
      </c>
      <c r="O31" s="497">
        <f t="shared" ca="1" si="10"/>
        <v>94.205517362061883</v>
      </c>
      <c r="P31" s="497">
        <f t="shared" ca="1" si="11"/>
        <v>100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6"/>
      <c r="J32" s="616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6"/>
      <c r="J33" s="616"/>
      <c r="K33" s="92"/>
      <c r="L33" s="92">
        <f t="shared" ca="1" si="13"/>
        <v>1234358</v>
      </c>
      <c r="M33" s="92">
        <f t="shared" ca="1" si="13"/>
        <v>1162833.3399999999</v>
      </c>
      <c r="N33" s="92">
        <f t="shared" si="13"/>
        <v>1162833.3399999999</v>
      </c>
      <c r="O33" s="92">
        <f t="shared" ca="1" si="10"/>
        <v>94.205517362061883</v>
      </c>
      <c r="P33" s="92">
        <f t="shared" ca="1" si="11"/>
        <v>100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22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6"/>
      <c r="J35" s="616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868" t="s">
        <v>24</v>
      </c>
      <c r="B37" s="867"/>
      <c r="C37" s="867"/>
      <c r="D37" s="867"/>
      <c r="E37" s="867"/>
      <c r="F37" s="867"/>
      <c r="G37" s="866"/>
      <c r="H37" s="865"/>
      <c r="I37" s="864"/>
      <c r="J37" s="864"/>
      <c r="K37" s="863"/>
      <c r="L37" s="862">
        <f ca="1">L41+L53+L66+L88+L119+L132+L149+L165+L181+L261+L277+L298+L315+L328+L345+L389+L402</f>
        <v>3400530</v>
      </c>
      <c r="M37" s="862">
        <f ca="1">M41+M53+M66+M88+M119+M132+M149+M165+M181+M261+M277+M298+M315+M328+M345+M389+M402</f>
        <v>3494260.21</v>
      </c>
      <c r="N37" s="862">
        <f ca="1">N41+N53+N66+N88+N119+N132+N149+N165+N181+N261+N277+N298+N315+N328+N345+N389+N402</f>
        <v>3551126.64</v>
      </c>
      <c r="O37" s="862">
        <f t="shared" ca="1" si="10"/>
        <v>104.42862259706575</v>
      </c>
      <c r="P37" s="862">
        <f t="shared" ca="1" si="11"/>
        <v>101.6274240206055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9" t="s">
        <v>27</v>
      </c>
      <c r="C40" s="888"/>
      <c r="D40" s="888"/>
      <c r="E40" s="888"/>
      <c r="F40" s="888"/>
      <c r="G40" s="894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1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560900</v>
      </c>
      <c r="M41" s="84">
        <f ca="1">M42+M43</f>
        <v>503417.16</v>
      </c>
      <c r="N41" s="84">
        <f ca="1">N42+N43</f>
        <v>503417.16</v>
      </c>
      <c r="O41" s="84">
        <f t="shared" ref="O41:O49" ca="1" si="15">IF(L41&gt;0,N41*100/L41,0)</f>
        <v>89.751677660902118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560900</v>
      </c>
      <c r="M43" s="91">
        <f t="shared" ca="1" si="17"/>
        <v>503417.16</v>
      </c>
      <c r="N43" s="91">
        <f t="shared" ca="1" si="17"/>
        <v>503417.16</v>
      </c>
      <c r="O43" s="91">
        <f t="shared" ca="1" si="15"/>
        <v>89.751677660902118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22" t="s">
        <v>12</v>
      </c>
      <c r="I44" s="269"/>
      <c r="J44" s="269"/>
      <c r="K44" s="497"/>
      <c r="L44" s="497">
        <f ca="1">L45+L46</f>
        <v>560900</v>
      </c>
      <c r="M44" s="497">
        <f ca="1">M45+M46</f>
        <v>503417.16</v>
      </c>
      <c r="N44" s="497">
        <f ca="1">N45+N46</f>
        <v>503417.16</v>
      </c>
      <c r="O44" s="497">
        <f t="shared" ca="1" si="15"/>
        <v>89.751677660902118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6"/>
      <c r="J45" s="616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6"/>
      <c r="J46" s="616"/>
      <c r="K46" s="92"/>
      <c r="L46" s="92">
        <f ca="1">IFERROR(__xludf.DUMMYFUNCTION("IMPORTRANGE(""https://docs.google.com/spreadsheets/d/1MeEWN-I1oV_STSDYn1IFDPWt_1FKiwhDph83XaGc0o0/edit?usp=sharing"",""งบพรบ!M82"")"),560900)</f>
        <v>560900</v>
      </c>
      <c r="M46" s="92">
        <f ca="1">IFERROR(__xludf.DUMMYFUNCTION("IMPORTRANGE(""https://docs.google.com/spreadsheets/d/1MeEWN-I1oV_STSDYn1IFDPWt_1FKiwhDph83XaGc0o0/edit?usp=sharing"",""งบพรบ!R82"")"),503417.16)</f>
        <v>503417.16</v>
      </c>
      <c r="N46" s="92">
        <f ca="1">IFERROR(__xludf.DUMMYFUNCTION("IMPORTRANGE(""https://docs.google.com/spreadsheets/d/1MeEWN-I1oV_STSDYn1IFDPWt_1FKiwhDph83XaGc0o0/edit?usp=sharing"",""งบพรบ!T82"")"),503417.16)</f>
        <v>503417.16</v>
      </c>
      <c r="O46" s="92">
        <f t="shared" ca="1" si="15"/>
        <v>89.751677660902118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22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6"/>
      <c r="J48" s="616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IFERROR(__xludf.DUMMYFUNCTION("IMPORTRANGE(""https://docs.google.com/spreadsheets/d/1MeEWN-I1oV_STSDYn1IFDPWt_1FKiwhDph83XaGc0o0/edit?usp=sharing"",""งบพรบ!P82"")"),0)</f>
        <v>0</v>
      </c>
      <c r="M49" s="51">
        <f ca="1">IFERROR(__xludf.DUMMYFUNCTION("IMPORTRANGE(""https://docs.google.com/spreadsheets/d/1MeEWN-I1oV_STSDYn1IFDPWt_1FKiwhDph83XaGc0o0/edit?usp=sharing"",""งบพรบ!S82"")"),0)</f>
        <v>0</v>
      </c>
      <c r="N49" s="51">
        <f ca="1">IFERROR(__xludf.DUMMYFUNCTION("IMPORTRANGE(""https://docs.google.com/spreadsheets/d/1MeEWN-I1oV_STSDYn1IFDPWt_1FKiwhDph83XaGc0o0/edit?usp=sharing"",""งบพรบ!U82"")"),0)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3" t="s">
        <v>29</v>
      </c>
      <c r="C51" s="888"/>
      <c r="D51" s="888"/>
      <c r="E51" s="888"/>
      <c r="F51" s="888"/>
      <c r="G51" s="894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607300</v>
      </c>
      <c r="M53" s="115">
        <f ca="1">M54+M55</f>
        <v>636133.05000000005</v>
      </c>
      <c r="N53" s="115">
        <f ca="1">N54+N55</f>
        <v>692999.4800000001</v>
      </c>
      <c r="O53" s="115">
        <f t="shared" ref="O53:O61" ca="1" si="18">IF(L53&gt;0,N53*100/L53,0)</f>
        <v>114.11155606784129</v>
      </c>
      <c r="P53" s="115">
        <f t="shared" ref="P53:P61" ca="1" si="19">IF(M53&gt;0,N53*100/M53,0)</f>
        <v>108.93939247457746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607300</v>
      </c>
      <c r="M55" s="122">
        <f t="shared" ca="1" si="20"/>
        <v>636133.05000000005</v>
      </c>
      <c r="N55" s="122">
        <f t="shared" ca="1" si="20"/>
        <v>692999.4800000001</v>
      </c>
      <c r="O55" s="122">
        <f t="shared" ca="1" si="18"/>
        <v>114.11155606784129</v>
      </c>
      <c r="P55" s="122">
        <f t="shared" ca="1" si="19"/>
        <v>108.93939247457746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22" t="s">
        <v>12</v>
      </c>
      <c r="I56" s="269"/>
      <c r="J56" s="269"/>
      <c r="K56" s="497"/>
      <c r="L56" s="497">
        <f ca="1">L57+L58</f>
        <v>607300</v>
      </c>
      <c r="M56" s="497">
        <f ca="1">M57+M58</f>
        <v>636133.05000000005</v>
      </c>
      <c r="N56" s="497">
        <f ca="1">N57+N58</f>
        <v>636133.05000000005</v>
      </c>
      <c r="O56" s="497">
        <f t="shared" ca="1" si="18"/>
        <v>104.74774411328833</v>
      </c>
      <c r="P56" s="497">
        <f t="shared" ca="1" si="19"/>
        <v>100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6"/>
      <c r="J57" s="616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6"/>
      <c r="J58" s="616"/>
      <c r="K58" s="92"/>
      <c r="L58" s="92">
        <f ca="1">IFERROR(__xludf.DUMMYFUNCTION("IMPORTRANGE(""https://docs.google.com/spreadsheets/d/1MeEWN-I1oV_STSDYn1IFDPWt_1FKiwhDph83XaGc0o0/edit?usp=sharing"",""งบพรบ!W82"")"),607300)</f>
        <v>607300</v>
      </c>
      <c r="M58" s="92">
        <f ca="1">IFERROR(__xludf.DUMMYFUNCTION("IMPORTRANGE(""https://docs.google.com/spreadsheets/d/1MeEWN-I1oV_STSDYn1IFDPWt_1FKiwhDph83XaGc0o0/edit?usp=sharing"",""งบพรบ!AB82"")"),636133.05)</f>
        <v>636133.05000000005</v>
      </c>
      <c r="N58" s="92">
        <f ca="1">IFERROR(__xludf.DUMMYFUNCTION("IMPORTRANGE(""https://docs.google.com/spreadsheets/d/1MeEWN-I1oV_STSDYn1IFDPWt_1FKiwhDph83XaGc0o0/edit?usp=sharing"",""งบพรบ!AD82"")"),636133.05)</f>
        <v>636133.05000000005</v>
      </c>
      <c r="O58" s="92">
        <f t="shared" ca="1" si="18"/>
        <v>104.74774411328833</v>
      </c>
      <c r="P58" s="92">
        <f t="shared" ca="1" si="19"/>
        <v>100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22" t="s">
        <v>12</v>
      </c>
      <c r="I59" s="269"/>
      <c r="J59" s="269"/>
      <c r="K59" s="497"/>
      <c r="L59" s="497">
        <f ca="1">L60+L61</f>
        <v>0</v>
      </c>
      <c r="M59" s="497">
        <f ca="1">M60+M61</f>
        <v>0</v>
      </c>
      <c r="N59" s="497">
        <f ca="1">N60+N61</f>
        <v>56866.43</v>
      </c>
      <c r="O59" s="497">
        <f t="shared" ca="1" si="18"/>
        <v>0</v>
      </c>
      <c r="P59" s="497">
        <f t="shared" ca="1" si="19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6"/>
      <c r="J60" s="616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IFERROR(__xludf.DUMMYFUNCTION("IMPORTRANGE(""https://docs.google.com/spreadsheets/d/1MeEWN-I1oV_STSDYn1IFDPWt_1FKiwhDph83XaGc0o0/edit?usp=sharing"",""งบพรบ!Z82"")"),0)</f>
        <v>0</v>
      </c>
      <c r="M61" s="51">
        <f ca="1">IFERROR(__xludf.DUMMYFUNCTION("IMPORTRANGE(""https://docs.google.com/spreadsheets/d/1MeEWN-I1oV_STSDYn1IFDPWt_1FKiwhDph83XaGc0o0/edit?usp=sharing"",""งบพรบ!AC82"")"),0)</f>
        <v>0</v>
      </c>
      <c r="N61" s="51">
        <f ca="1">IFERROR(__xludf.DUMMYFUNCTION("IMPORTRANGE(""https://docs.google.com/spreadsheets/d/1MeEWN-I1oV_STSDYn1IFDPWt_1FKiwhDph83XaGc0o0/edit?usp=sharing"",""งบพรบ!AE82"")"),56866.43)</f>
        <v>56866.43</v>
      </c>
      <c r="O61" s="51">
        <f t="shared" ca="1" si="18"/>
        <v>0</v>
      </c>
      <c r="P61" s="51">
        <f t="shared" ca="1" si="19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1</v>
      </c>
      <c r="J64" s="143">
        <f>J76</f>
        <v>1</v>
      </c>
      <c r="K64" s="144">
        <f ca="1">IF(I64&gt;0,J64*100/I64,0)</f>
        <v>100</v>
      </c>
      <c r="L64" s="145"/>
      <c r="M64" s="145"/>
      <c r="N64" s="145"/>
      <c r="O64" s="145"/>
      <c r="P64" s="145"/>
    </row>
    <row r="65" spans="1:26" ht="19.5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30</v>
      </c>
      <c r="J65" s="143">
        <f>J77</f>
        <v>30</v>
      </c>
      <c r="K65" s="144">
        <f ca="1">IF(I65&gt;0,J65*100/I65,0)</f>
        <v>100</v>
      </c>
      <c r="L65" s="145"/>
      <c r="M65" s="145"/>
      <c r="N65" s="145"/>
      <c r="O65" s="145"/>
      <c r="P65" s="145"/>
    </row>
    <row r="66" spans="1:26" ht="19.5">
      <c r="A66" s="146"/>
      <c r="B66" s="147"/>
      <c r="C66" s="148" t="s">
        <v>16</v>
      </c>
      <c r="D66" s="846" t="s">
        <v>17</v>
      </c>
      <c r="E66" s="147"/>
      <c r="F66" s="147"/>
      <c r="G66" s="150"/>
      <c r="H66" s="151" t="s">
        <v>12</v>
      </c>
      <c r="I66" s="420"/>
      <c r="J66" s="420"/>
      <c r="K66" s="153"/>
      <c r="L66" s="154">
        <f ca="1">L67+L68</f>
        <v>916200</v>
      </c>
      <c r="M66" s="154">
        <f ca="1">M67+M68</f>
        <v>933200</v>
      </c>
      <c r="N66" s="154">
        <f ca="1">N67+N68</f>
        <v>933200</v>
      </c>
      <c r="O66" s="154">
        <f t="shared" ref="O66:O74" ca="1" si="21">IF(L66&gt;0,N66*100/L66,0)</f>
        <v>101.85549006767081</v>
      </c>
      <c r="P66" s="154">
        <f t="shared" ref="P66:P74" ca="1" si="22">IF(M66&gt;0,N66*100/M66,0)</f>
        <v>100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6"/>
      <c r="J67" s="616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6"/>
      <c r="J68" s="616"/>
      <c r="K68" s="92"/>
      <c r="L68" s="92">
        <f t="shared" ca="1" si="23"/>
        <v>916200</v>
      </c>
      <c r="M68" s="92">
        <f t="shared" ca="1" si="23"/>
        <v>933200</v>
      </c>
      <c r="N68" s="92">
        <f t="shared" ca="1" si="23"/>
        <v>933200</v>
      </c>
      <c r="O68" s="92">
        <f t="shared" ca="1" si="21"/>
        <v>101.85549006767081</v>
      </c>
      <c r="P68" s="92">
        <f t="shared" ca="1" si="22"/>
        <v>100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916200</v>
      </c>
      <c r="M69" s="497">
        <f ca="1">M70+M71</f>
        <v>933200</v>
      </c>
      <c r="N69" s="497">
        <f ca="1">N70+N71</f>
        <v>933200</v>
      </c>
      <c r="O69" s="497">
        <f t="shared" ca="1" si="21"/>
        <v>101.85549006767081</v>
      </c>
      <c r="P69" s="497">
        <f t="shared" ca="1" si="22"/>
        <v>100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IFERROR(__xludf.DUMMYFUNCTION("IMPORTRANGE(""https://docs.google.com/spreadsheets/d/1MeEWN-I1oV_STSDYn1IFDPWt_1FKiwhDph83XaGc0o0/edit?usp=sharing"",""งบพรบ!AG82"")"),916200)</f>
        <v>916200</v>
      </c>
      <c r="M71" s="92">
        <f ca="1">IFERROR(__xludf.DUMMYFUNCTION("IMPORTRANGE(""https://docs.google.com/spreadsheets/d/1MeEWN-I1oV_STSDYn1IFDPWt_1FKiwhDph83XaGc0o0/edit?usp=sharing"",""งบพรบ!AL82"")"),933200)</f>
        <v>933200</v>
      </c>
      <c r="N71" s="92">
        <f ca="1">IFERROR(__xludf.DUMMYFUNCTION("IMPORTRANGE(""https://docs.google.com/spreadsheets/d/1MeEWN-I1oV_STSDYn1IFDPWt_1FKiwhDph83XaGc0o0/edit?usp=sharing"",""งบพรบ!AN82"")"),933200)</f>
        <v>933200</v>
      </c>
      <c r="O71" s="92">
        <f t="shared" ca="1" si="21"/>
        <v>101.85549006767081</v>
      </c>
      <c r="P71" s="92">
        <f t="shared" ca="1" si="22"/>
        <v>100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IFERROR(__xludf.DUMMYFUNCTION("IMPORTRANGE(""https://docs.google.com/spreadsheets/d/1MeEWN-I1oV_STSDYn1IFDPWt_1FKiwhDph83XaGc0o0/edit?usp=sharing"",""งบพรบ!AJ82"")"),0)</f>
        <v>0</v>
      </c>
      <c r="M74" s="92">
        <f ca="1">IFERROR(__xludf.DUMMYFUNCTION("IMPORTRANGE(""https://docs.google.com/spreadsheets/d/1MeEWN-I1oV_STSDYn1IFDPWt_1FKiwhDph83XaGc0o0/edit?usp=sharing"",""งบพรบ!AM82"")"),0)</f>
        <v>0</v>
      </c>
      <c r="N74" s="92">
        <f ca="1">IFERROR(__xludf.DUMMYFUNCTION("IMPORTRANGE(""https://docs.google.com/spreadsheets/d/1MeEWN-I1oV_STSDYn1IFDPWt_1FKiwhDph83XaGc0o0/edit?usp=sharing"",""งบพรบ!AO82"")"),0)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>
      <c r="A75" s="169"/>
      <c r="B75" s="170"/>
      <c r="C75" s="163" t="s">
        <v>16</v>
      </c>
      <c r="D75" s="847" t="s">
        <v>38</v>
      </c>
      <c r="E75" s="172"/>
      <c r="F75" s="172"/>
      <c r="G75" s="173"/>
      <c r="H75" s="761"/>
      <c r="I75" s="183"/>
      <c r="J75" s="183"/>
      <c r="K75" s="162"/>
      <c r="L75" s="162"/>
      <c r="M75" s="162"/>
      <c r="N75" s="162"/>
      <c r="O75" s="162"/>
      <c r="P75" s="162"/>
    </row>
    <row r="76" spans="1:26" ht="19.5">
      <c r="A76" s="169"/>
      <c r="B76" s="170"/>
      <c r="C76" s="170"/>
      <c r="D76" s="175" t="s">
        <v>39</v>
      </c>
      <c r="E76" s="447"/>
      <c r="F76" s="177"/>
      <c r="G76" s="178"/>
      <c r="H76" s="179" t="s">
        <v>34</v>
      </c>
      <c r="I76" s="269">
        <f ca="1">I78+I80+I82</f>
        <v>1</v>
      </c>
      <c r="J76" s="269">
        <f>J78+J80+J82</f>
        <v>1</v>
      </c>
      <c r="K76" s="162">
        <f t="shared" ref="K76:K84" ca="1" si="24">IF(I76&gt;0,J76*100/I76,0)</f>
        <v>100</v>
      </c>
      <c r="L76" s="162"/>
      <c r="M76" s="162"/>
      <c r="N76" s="162"/>
      <c r="O76" s="162"/>
      <c r="P76" s="162"/>
    </row>
    <row r="77" spans="1:26" ht="19.5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30</v>
      </c>
      <c r="J77" s="269">
        <f>J79+J81+J83</f>
        <v>30</v>
      </c>
      <c r="K77" s="162">
        <f t="shared" ca="1" si="24"/>
        <v>100</v>
      </c>
      <c r="L77" s="162"/>
      <c r="M77" s="162"/>
      <c r="N77" s="162"/>
      <c r="O77" s="162"/>
      <c r="P77" s="162"/>
    </row>
    <row r="78" spans="1:26" ht="18.75">
      <c r="A78" s="169"/>
      <c r="B78" s="170"/>
      <c r="C78" s="170"/>
      <c r="D78" s="170"/>
      <c r="E78" s="447" t="s">
        <v>40</v>
      </c>
      <c r="F78" s="447"/>
      <c r="G78" s="178"/>
      <c r="H78" s="763" t="s">
        <v>34</v>
      </c>
      <c r="I78" s="183">
        <f ca="1">IFERROR(__xludf.DUMMYFUNCTION("IMPORTRANGE(""https://docs.google.com/spreadsheets/d/1QqKyyYR6Q21VydFLVH3TRQUabQu_ym0Zz7PgGX0-kHA/edit?usp=sharing"",""แผน!H82"")"),0)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>
      <c r="A79" s="169"/>
      <c r="B79" s="170"/>
      <c r="C79" s="170"/>
      <c r="D79" s="170"/>
      <c r="E79" s="177"/>
      <c r="F79" s="177"/>
      <c r="G79" s="178"/>
      <c r="H79" s="763" t="s">
        <v>35</v>
      </c>
      <c r="I79" s="183">
        <f ca="1">IFERROR(__xludf.DUMMYFUNCTION("IMPORTRANGE(""https://docs.google.com/spreadsheets/d/1QqKyyYR6Q21VydFLVH3TRQUabQu_ym0Zz7PgGX0-kHA/edit?usp=sharing"",""แผน!I82"")"),0)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>
      <c r="A80" s="169"/>
      <c r="B80" s="170"/>
      <c r="C80" s="170"/>
      <c r="D80" s="170"/>
      <c r="E80" s="447" t="s">
        <v>41</v>
      </c>
      <c r="F80" s="447"/>
      <c r="G80" s="178"/>
      <c r="H80" s="763" t="s">
        <v>34</v>
      </c>
      <c r="I80" s="183">
        <f ca="1">IFERROR(__xludf.DUMMYFUNCTION("IMPORTRANGE(""https://docs.google.com/spreadsheets/d/1QqKyyYR6Q21VydFLVH3TRQUabQu_ym0Zz7PgGX0-kHA/edit?usp=sharing"",""แผน!F82"")"),1)</f>
        <v>1</v>
      </c>
      <c r="J80" s="214">
        <v>1</v>
      </c>
      <c r="K80" s="162">
        <f t="shared" ca="1" si="24"/>
        <v>100</v>
      </c>
      <c r="L80" s="162"/>
      <c r="M80" s="162"/>
      <c r="N80" s="162"/>
      <c r="O80" s="162"/>
      <c r="P80" s="162"/>
    </row>
    <row r="81" spans="1:26" ht="18.75">
      <c r="A81" s="169"/>
      <c r="B81" s="170"/>
      <c r="C81" s="170"/>
      <c r="D81" s="170"/>
      <c r="E81" s="177"/>
      <c r="F81" s="177"/>
      <c r="G81" s="178"/>
      <c r="H81" s="763" t="s">
        <v>35</v>
      </c>
      <c r="I81" s="183">
        <f ca="1">IFERROR(__xludf.DUMMYFUNCTION("IMPORTRANGE(""https://docs.google.com/spreadsheets/d/1QqKyyYR6Q21VydFLVH3TRQUabQu_ym0Zz7PgGX0-kHA/edit?usp=sharing"",""แผน!G82"")"),30)</f>
        <v>30</v>
      </c>
      <c r="J81" s="214">
        <v>30</v>
      </c>
      <c r="K81" s="162">
        <f t="shared" ca="1" si="24"/>
        <v>100</v>
      </c>
      <c r="L81" s="162"/>
      <c r="M81" s="162"/>
      <c r="N81" s="162"/>
      <c r="O81" s="162"/>
      <c r="P81" s="162"/>
    </row>
    <row r="82" spans="1:26" ht="18.75">
      <c r="A82" s="169"/>
      <c r="B82" s="170"/>
      <c r="C82" s="170"/>
      <c r="D82" s="170"/>
      <c r="E82" s="447" t="s">
        <v>42</v>
      </c>
      <c r="F82" s="447"/>
      <c r="G82" s="178"/>
      <c r="H82" s="763" t="s">
        <v>34</v>
      </c>
      <c r="I82" s="183">
        <f ca="1">IFERROR(__xludf.DUMMYFUNCTION("IMPORTRANGE(""https://docs.google.com/spreadsheets/d/1QqKyyYR6Q21VydFLVH3TRQUabQu_ym0Zz7PgGX0-kHA/edit?usp=sharing"",""แผน!D82"")"),0)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>
      <c r="A83" s="169"/>
      <c r="B83" s="170"/>
      <c r="C83" s="170"/>
      <c r="D83" s="170"/>
      <c r="E83" s="177"/>
      <c r="F83" s="177"/>
      <c r="G83" s="178"/>
      <c r="H83" s="763" t="s">
        <v>35</v>
      </c>
      <c r="I83" s="183">
        <f ca="1">IFERROR(__xludf.DUMMYFUNCTION("IMPORTRANGE(""https://docs.google.com/spreadsheets/d/1QqKyyYR6Q21VydFLVH3TRQUabQu_ym0Zz7PgGX0-kHA/edit?usp=sharing"",""แผน!E82"")"),0)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>
      <c r="A84" s="169"/>
      <c r="B84" s="170"/>
      <c r="C84" s="170"/>
      <c r="D84" s="175" t="s">
        <v>43</v>
      </c>
      <c r="E84" s="447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IFERROR(__xludf.DUMMYFUNCTION("IMPORTRANGE(""https://docs.google.com/spreadsheets/d/1QqKyyYR6Q21VydFLVH3TRQUabQu_ym0Zz7PgGX0-kHA/edit?usp=sharing"",""แผน!J82"")"),1)</f>
        <v>1</v>
      </c>
      <c r="J84" s="214">
        <v>1</v>
      </c>
      <c r="K84" s="162">
        <f t="shared" ca="1" si="24"/>
        <v>100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46" t="s">
        <v>17</v>
      </c>
      <c r="E88" s="147"/>
      <c r="F88" s="147"/>
      <c r="G88" s="150"/>
      <c r="H88" s="151" t="s">
        <v>12</v>
      </c>
      <c r="I88" s="420"/>
      <c r="J88" s="420"/>
      <c r="K88" s="153"/>
      <c r="L88" s="154">
        <f ca="1">L89+L90</f>
        <v>86340</v>
      </c>
      <c r="M88" s="154">
        <f ca="1">M89+M90</f>
        <v>86340</v>
      </c>
      <c r="N88" s="154">
        <f ca="1">N89+N90</f>
        <v>86340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6"/>
      <c r="J89" s="616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6"/>
      <c r="J90" s="616"/>
      <c r="K90" s="92"/>
      <c r="L90" s="92">
        <f t="shared" ca="1" si="27"/>
        <v>86340</v>
      </c>
      <c r="M90" s="92">
        <f t="shared" ca="1" si="27"/>
        <v>86340</v>
      </c>
      <c r="N90" s="92">
        <f t="shared" ca="1" si="27"/>
        <v>86340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86340</v>
      </c>
      <c r="M91" s="497">
        <f ca="1">M92+M93</f>
        <v>86340</v>
      </c>
      <c r="N91" s="497">
        <f ca="1">N92+N93</f>
        <v>86340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IFERROR(__xludf.DUMMYFUNCTION("IMPORTRANGE(""https://docs.google.com/spreadsheets/d/1MeEWN-I1oV_STSDYn1IFDPWt_1FKiwhDph83XaGc0o0/edit?usp=sharing"",""งบพรบ!AQ82"")"),86340)</f>
        <v>86340</v>
      </c>
      <c r="M93" s="92">
        <f ca="1">IFERROR(__xludf.DUMMYFUNCTION("IMPORTRANGE(""https://docs.google.com/spreadsheets/d/1MeEWN-I1oV_STSDYn1IFDPWt_1FKiwhDph83XaGc0o0/edit?usp=sharing"",""งบพรบ!AV82"")"),86340)</f>
        <v>86340</v>
      </c>
      <c r="N93" s="92">
        <f ca="1">IFERROR(__xludf.DUMMYFUNCTION("IMPORTRANGE(""https://docs.google.com/spreadsheets/d/1MeEWN-I1oV_STSDYn1IFDPWt_1FKiwhDph83XaGc0o0/edit?usp=sharing"",""งบพรบ!AX82"")"),86340)</f>
        <v>86340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IFERROR(__xludf.DUMMYFUNCTION("IMPORTRANGE(""https://docs.google.com/spreadsheets/d/1MeEWN-I1oV_STSDYn1IFDPWt_1FKiwhDph83XaGc0o0/edit?usp=sharing"",""งบพรบ!AT82"")"),0)</f>
        <v>0</v>
      </c>
      <c r="M96" s="92">
        <f ca="1">IFERROR(__xludf.DUMMYFUNCTION("IMPORTRANGE(""https://docs.google.com/spreadsheets/d/1MeEWN-I1oV_STSDYn1IFDPWt_1FKiwhDph83XaGc0o0/edit?usp=sharing"",""งบพรบ!AW82"")"),0)</f>
        <v>0</v>
      </c>
      <c r="N96" s="92">
        <f ca="1">IFERROR(__xludf.DUMMYFUNCTION("IMPORTRANGE(""https://docs.google.com/spreadsheets/d/1MeEWN-I1oV_STSDYn1IFDPWt_1FKiwhDph83XaGc0o0/edit?usp=sharing"",""งบพรบ!AY82"")"),0)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47" t="s">
        <v>38</v>
      </c>
      <c r="E97" s="172"/>
      <c r="F97" s="172"/>
      <c r="G97" s="173"/>
      <c r="H97" s="761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7" t="s">
        <v>47</v>
      </c>
      <c r="E98" s="447"/>
      <c r="F98" s="177"/>
      <c r="G98" s="178"/>
      <c r="H98" s="622" t="s">
        <v>46</v>
      </c>
      <c r="I98" s="269">
        <f ca="1">IFERROR(__xludf.DUMMYFUNCTION("IMPORTRANGE(""https://docs.google.com/spreadsheets/d/1QqKyyYR6Q21VydFLVH3TRQUabQu_ym0Zz7PgGX0-kHA/edit?usp=sharing"",""แผน!K82"")"),30)</f>
        <v>30</v>
      </c>
      <c r="J98" s="269">
        <f>J102</f>
        <v>30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7" t="s">
        <v>48</v>
      </c>
      <c r="E99" s="447"/>
      <c r="F99" s="177"/>
      <c r="G99" s="178"/>
      <c r="H99" s="622" t="s">
        <v>35</v>
      </c>
      <c r="I99" s="269">
        <f ca="1">IFERROR(__xludf.DUMMYFUNCTION("IMPORTRANGE(""https://docs.google.com/spreadsheets/d/1QqKyyYR6Q21VydFLVH3TRQUabQu_ym0Zz7PgGX0-kHA/edit?usp=sharing"",""แผน!L82"")"),10)</f>
        <v>10</v>
      </c>
      <c r="J99" s="269">
        <f>J104</f>
        <v>10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22" t="s">
        <v>49</v>
      </c>
      <c r="I100" s="269">
        <f ca="1">IFERROR(__xludf.DUMMYFUNCTION("IMPORTRANGE(""https://docs.google.com/spreadsheets/d/1QqKyyYR6Q21VydFLVH3TRQUabQu_ym0Zz7PgGX0-kHA/edit?usp=sharing"",""แผน!M82"")"),2)</f>
        <v>2</v>
      </c>
      <c r="J100" s="269">
        <f>J107+J110</f>
        <v>2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22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5" t="s">
        <v>47</v>
      </c>
      <c r="F102" s="177"/>
      <c r="G102" s="178"/>
      <c r="H102" s="622" t="s">
        <v>46</v>
      </c>
      <c r="I102" s="269">
        <f ca="1">IFERROR(__xludf.DUMMYFUNCTION("IMPORTRANGE(""https://docs.google.com/spreadsheets/d/1QqKyyYR6Q21VydFLVH3TRQUabQu_ym0Zz7PgGX0-kHA/edit?usp=sharing"",""แผน!N82"")"),30)</f>
        <v>30</v>
      </c>
      <c r="J102" s="214">
        <v>30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7" t="s">
        <v>51</v>
      </c>
      <c r="F103" s="177"/>
      <c r="G103" s="178"/>
      <c r="H103" s="622" t="s">
        <v>35</v>
      </c>
      <c r="I103" s="269">
        <f ca="1">IFERROR(__xludf.DUMMYFUNCTION("IMPORTRANGE(""https://docs.google.com/spreadsheets/d/1QqKyyYR6Q21VydFLVH3TRQUabQu_ym0Zz7PgGX0-kHA/edit?usp=sharing"",""แผน!O82"")"),10)</f>
        <v>10</v>
      </c>
      <c r="J103" s="214">
        <v>10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22" t="s">
        <v>35</v>
      </c>
      <c r="I104" s="269">
        <f ca="1">IFERROR(__xludf.DUMMYFUNCTION("IMPORTRANGE(""https://docs.google.com/spreadsheets/d/1QqKyyYR6Q21VydFLVH3TRQUabQu_ym0Zz7PgGX0-kHA/edit?usp=sharing"",""แผน!O82"")"),10)</f>
        <v>10</v>
      </c>
      <c r="J104" s="214">
        <v>10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7" t="s">
        <v>54</v>
      </c>
      <c r="F106" s="177"/>
      <c r="G106" s="178"/>
      <c r="H106" s="622" t="s">
        <v>49</v>
      </c>
      <c r="I106" s="269">
        <f ca="1">IFERROR(__xludf.DUMMYFUNCTION("IMPORTRANGE(""https://docs.google.com/spreadsheets/d/1QqKyyYR6Q21VydFLVH3TRQUabQu_ym0Zz7PgGX0-kHA/edit?usp=sharing"",""แผน!P82"")"),1)</f>
        <v>1</v>
      </c>
      <c r="J106" s="87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22" t="s">
        <v>49</v>
      </c>
      <c r="I107" s="269">
        <f ca="1">IFERROR(__xludf.DUMMYFUNCTION("IMPORTRANGE(""https://docs.google.com/spreadsheets/d/1QqKyyYR6Q21VydFLVH3TRQUabQu_ym0Zz7PgGX0-kHA/edit?usp=sharing"",""แผน!P82"")"),1)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7" t="s">
        <v>57</v>
      </c>
      <c r="F109" s="177"/>
      <c r="G109" s="178"/>
      <c r="H109" s="622" t="s">
        <v>49</v>
      </c>
      <c r="I109" s="269">
        <f ca="1">IFERROR(__xludf.DUMMYFUNCTION("IMPORTRANGE(""https://docs.google.com/spreadsheets/d/1QqKyyYR6Q21VydFLVH3TRQUabQu_ym0Zz7PgGX0-kHA/edit?usp=sharing"",""แผน!Q82"")"),1)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22" t="s">
        <v>49</v>
      </c>
      <c r="I110" s="269">
        <f ca="1">IFERROR(__xludf.DUMMYFUNCTION("IMPORTRANGE(""https://docs.google.com/spreadsheets/d/1QqKyyYR6Q21VydFLVH3TRQUabQu_ym0Zz7PgGX0-kHA/edit?usp=sharing"",""แผน!Q82"")"),1)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6" t="s">
        <v>35</v>
      </c>
      <c r="I111" s="192">
        <f ca="1">IFERROR(__xludf.DUMMYFUNCTION("IMPORTRANGE(""https://docs.google.com/spreadsheets/d/1QqKyyYR6Q21VydFLVH3TRQUabQu_ym0Zz7PgGX0-kHA/edit?usp=sharing"",""แผน!R82"")"),10)</f>
        <v>10</v>
      </c>
      <c r="J111" s="680">
        <f>J114</f>
        <v>10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2</v>
      </c>
      <c r="J112" s="680">
        <f>J115+J116</f>
        <v>2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31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IFERROR(__xludf.DUMMYFUNCTION("IMPORTRANGE(""https://docs.google.com/spreadsheets/d/1QqKyyYR6Q21VydFLVH3TRQUabQu_ym0Zz7PgGX0-kHA/edit?usp=sharing"",""แผน!R82"")"),10)</f>
        <v>10</v>
      </c>
      <c r="J113" s="214">
        <v>10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7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IFERROR(__xludf.DUMMYFUNCTION("IMPORTRANGE(""https://docs.google.com/spreadsheets/d/1QqKyyYR6Q21VydFLVH3TRQUabQu_ym0Zz7PgGX0-kHA/edit?usp=sharing"",""แผน!R82"")"),10)</f>
        <v>10</v>
      </c>
      <c r="J114" s="214">
        <v>10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7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IFERROR(__xludf.DUMMYFUNCTION("IMPORTRANGE(""https://docs.google.com/spreadsheets/d/1QqKyyYR6Q21VydFLVH3TRQUabQu_ym0Zz7PgGX0-kHA/edit?usp=sharing"",""แผน!S82"")"),1)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7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IFERROR(__xludf.DUMMYFUNCTION("IMPORTRANGE(""https://docs.google.com/spreadsheets/d/1QqKyyYR6Q21VydFLVH3TRQUabQu_ym0Zz7PgGX0-kHA/edit?usp=sharing"",""แผน!T82"")"),1)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46" t="s">
        <v>17</v>
      </c>
      <c r="E119" s="147"/>
      <c r="F119" s="147"/>
      <c r="G119" s="150"/>
      <c r="H119" s="151" t="s">
        <v>12</v>
      </c>
      <c r="I119" s="420"/>
      <c r="J119" s="420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6"/>
      <c r="J120" s="616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6"/>
      <c r="J121" s="616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IFERROR(__xludf.DUMMYFUNCTION("IMPORTRANGE(""https://docs.google.com/spreadsheets/d/1MeEWN-I1oV_STSDYn1IFDPWt_1FKiwhDph83XaGc0o0/edit?usp=sharing"",""งบพรบ!BA82"")"),0)</f>
        <v>0</v>
      </c>
      <c r="M124" s="92">
        <f ca="1">IFERROR(__xludf.DUMMYFUNCTION("IMPORTRANGE(""https://docs.google.com/spreadsheets/d/1MeEWN-I1oV_STSDYn1IFDPWt_1FKiwhDph83XaGc0o0/edit?usp=sharing"",""งบพรบ!BF82"")"),0)</f>
        <v>0</v>
      </c>
      <c r="N124" s="92">
        <f ca="1">IFERROR(__xludf.DUMMYFUNCTION("IMPORTRANGE(""https://docs.google.com/spreadsheets/d/1MeEWN-I1oV_STSDYn1IFDPWt_1FKiwhDph83XaGc0o0/edit?usp=sharing"",""งบพรบ!BH82"")"),0)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IFERROR(__xludf.DUMMYFUNCTION("IMPORTRANGE(""https://docs.google.com/spreadsheets/d/1MeEWN-I1oV_STSDYn1IFDPWt_1FKiwhDph83XaGc0o0/edit?usp=sharing"",""งบพรบ!BD82"")"),0)</f>
        <v>0</v>
      </c>
      <c r="M127" s="92">
        <f ca="1">IFERROR(__xludf.DUMMYFUNCTION("IMPORTRANGE(""https://docs.google.com/spreadsheets/d/1MeEWN-I1oV_STSDYn1IFDPWt_1FKiwhDph83XaGc0o0/edit?usp=sharing"",""งบพรบ!BG82"")"),0)</f>
        <v>0</v>
      </c>
      <c r="N127" s="92">
        <f ca="1">IFERROR(__xludf.DUMMYFUNCTION("IMPORTRANGE(""https://docs.google.com/spreadsheets/d/1MeEWN-I1oV_STSDYn1IFDPWt_1FKiwhDph83XaGc0o0/edit?usp=sharing"",""งบพรบ!BI82"")"),0)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3</v>
      </c>
      <c r="J130" s="143">
        <f>J146</f>
        <v>3</v>
      </c>
      <c r="K130" s="144">
        <f ca="1">IF(I130&gt;0,J130*100/I130,0)</f>
        <v>100</v>
      </c>
      <c r="L130" s="145"/>
      <c r="M130" s="145"/>
      <c r="N130" s="145"/>
      <c r="O130" s="145"/>
      <c r="P130" s="145"/>
    </row>
    <row r="131" spans="1:26" ht="19.5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30</v>
      </c>
      <c r="J131" s="143">
        <f ca="1">J143</f>
        <v>30</v>
      </c>
      <c r="K131" s="144">
        <f ca="1">IF(I131&gt;0,J131*100/I131,0)</f>
        <v>100</v>
      </c>
      <c r="L131" s="145"/>
      <c r="M131" s="145"/>
      <c r="N131" s="145"/>
      <c r="O131" s="145"/>
      <c r="P131" s="145"/>
    </row>
    <row r="132" spans="1:26" ht="19.5">
      <c r="A132" s="146"/>
      <c r="B132" s="147"/>
      <c r="C132" s="148" t="s">
        <v>16</v>
      </c>
      <c r="D132" s="846" t="s">
        <v>17</v>
      </c>
      <c r="E132" s="147"/>
      <c r="F132" s="147"/>
      <c r="G132" s="150"/>
      <c r="H132" s="151" t="s">
        <v>12</v>
      </c>
      <c r="I132" s="420"/>
      <c r="J132" s="420"/>
      <c r="K132" s="153"/>
      <c r="L132" s="154">
        <f ca="1">L133+L134</f>
        <v>454965</v>
      </c>
      <c r="M132" s="154">
        <f ca="1">M133+M134</f>
        <v>476265</v>
      </c>
      <c r="N132" s="154">
        <f ca="1">N133+N134</f>
        <v>476265</v>
      </c>
      <c r="O132" s="154">
        <f t="shared" ref="O132:O140" ca="1" si="32">IF(L132&gt;0,N132*100/L132,0)</f>
        <v>104.68167881045795</v>
      </c>
      <c r="P132" s="154">
        <f t="shared" ref="P132:P140" ca="1" si="33">IF(M132&gt;0,N132*100/M132,0)</f>
        <v>100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6"/>
      <c r="J133" s="616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6"/>
      <c r="J134" s="616"/>
      <c r="K134" s="92"/>
      <c r="L134" s="92">
        <f t="shared" ca="1" si="34"/>
        <v>454965</v>
      </c>
      <c r="M134" s="92">
        <f t="shared" ca="1" si="34"/>
        <v>476265</v>
      </c>
      <c r="N134" s="92">
        <f t="shared" ca="1" si="34"/>
        <v>476265</v>
      </c>
      <c r="O134" s="92">
        <f t="shared" ca="1" si="32"/>
        <v>104.68167881045795</v>
      </c>
      <c r="P134" s="92">
        <f t="shared" ca="1" si="33"/>
        <v>100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145965</v>
      </c>
      <c r="M135" s="497">
        <f ca="1">M136+M137</f>
        <v>167265</v>
      </c>
      <c r="N135" s="497">
        <f ca="1">N136+N137</f>
        <v>167265</v>
      </c>
      <c r="O135" s="497">
        <f t="shared" ca="1" si="32"/>
        <v>114.5925393073682</v>
      </c>
      <c r="P135" s="497">
        <f t="shared" ca="1" si="33"/>
        <v>100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IFERROR(__xludf.DUMMYFUNCTION("IMPORTRANGE(""https://docs.google.com/spreadsheets/d/1MeEWN-I1oV_STSDYn1IFDPWt_1FKiwhDph83XaGc0o0/edit?usp=sharing"",""งบพรบ!BK82"")"),145965)</f>
        <v>145965</v>
      </c>
      <c r="M137" s="92">
        <f ca="1">IFERROR(__xludf.DUMMYFUNCTION("IMPORTRANGE(""https://docs.google.com/spreadsheets/d/1MeEWN-I1oV_STSDYn1IFDPWt_1FKiwhDph83XaGc0o0/edit?usp=sharing"",""งบพรบ!BP82"")"),167265)</f>
        <v>167265</v>
      </c>
      <c r="N137" s="92">
        <f ca="1">IFERROR(__xludf.DUMMYFUNCTION("IMPORTRANGE(""https://docs.google.com/spreadsheets/d/1MeEWN-I1oV_STSDYn1IFDPWt_1FKiwhDph83XaGc0o0/edit?usp=sharing"",""งบพรบ!BR82"")"),167265)</f>
        <v>167265</v>
      </c>
      <c r="O137" s="92">
        <f t="shared" ca="1" si="32"/>
        <v>114.5925393073682</v>
      </c>
      <c r="P137" s="92">
        <f t="shared" ca="1" si="33"/>
        <v>100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309000</v>
      </c>
      <c r="M138" s="497">
        <f ca="1">M139+M140</f>
        <v>309000</v>
      </c>
      <c r="N138" s="497">
        <f ca="1">N139+N140</f>
        <v>309000</v>
      </c>
      <c r="O138" s="497">
        <f t="shared" ca="1" si="32"/>
        <v>100</v>
      </c>
      <c r="P138" s="497">
        <f t="shared" ca="1" si="33"/>
        <v>100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IFERROR(__xludf.DUMMYFUNCTION("IMPORTRANGE(""https://docs.google.com/spreadsheets/d/1MeEWN-I1oV_STSDYn1IFDPWt_1FKiwhDph83XaGc0o0/edit?usp=sharing"",""งบพรบ!BN82"")"),309000)</f>
        <v>309000</v>
      </c>
      <c r="M140" s="92">
        <f ca="1">IFERROR(__xludf.DUMMYFUNCTION("IMPORTRANGE(""https://docs.google.com/spreadsheets/d/1MeEWN-I1oV_STSDYn1IFDPWt_1FKiwhDph83XaGc0o0/edit?usp=sharing"",""งบพรบ!BQ82"")"),309000)</f>
        <v>309000</v>
      </c>
      <c r="N140" s="92">
        <f ca="1">IFERROR(__xludf.DUMMYFUNCTION("IMPORTRANGE(""https://docs.google.com/spreadsheets/d/1MeEWN-I1oV_STSDYn1IFDPWt_1FKiwhDph83XaGc0o0/edit?usp=sharing"",""งบพรบ!BS82"")"),309000)</f>
        <v>309000</v>
      </c>
      <c r="O140" s="92">
        <f t="shared" ca="1" si="32"/>
        <v>100</v>
      </c>
      <c r="P140" s="92">
        <f t="shared" ca="1" si="33"/>
        <v>100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>
      <c r="A141" s="169"/>
      <c r="B141" s="170"/>
      <c r="C141" s="148" t="s">
        <v>16</v>
      </c>
      <c r="D141" s="84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30</v>
      </c>
      <c r="J143" s="269">
        <f ca="1">IF(AND(J144&gt;=I144,J145&gt;=I145),J145,0)</f>
        <v>30</v>
      </c>
      <c r="K143" s="497">
        <f ca="1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IFERROR(__xludf.DUMMYFUNCTION("IMPORTRANGE(""https://docs.google.com/spreadsheets/d/1QqKyyYR6Q21VydFLVH3TRQUabQu_ym0Zz7PgGX0-kHA/edit?usp=sharing"",""แผน!U82"")"),15)</f>
        <v>15</v>
      </c>
      <c r="J144" s="214">
        <v>15</v>
      </c>
      <c r="K144" s="497">
        <f ca="1">IF(I144&gt;0,J144*100/I144,0)</f>
        <v>100</v>
      </c>
      <c r="L144" s="497"/>
      <c r="M144" s="497"/>
      <c r="N144" s="497"/>
      <c r="O144" s="497"/>
      <c r="P144" s="497"/>
    </row>
    <row r="145" spans="1:26" ht="19.5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IFERROR(__xludf.DUMMYFUNCTION("IMPORTRANGE(""https://docs.google.com/spreadsheets/d/1QqKyyYR6Q21VydFLVH3TRQUabQu_ym0Zz7PgGX0-kHA/edit?usp=sharing"",""แผน!V82"")"),30)</f>
        <v>30</v>
      </c>
      <c r="J145" s="214">
        <v>30</v>
      </c>
      <c r="K145" s="497">
        <f ca="1">IF(I145&gt;0,J145*100/I145,0)</f>
        <v>100</v>
      </c>
      <c r="L145" s="497"/>
      <c r="M145" s="497"/>
      <c r="N145" s="497"/>
      <c r="O145" s="497"/>
      <c r="P145" s="497"/>
    </row>
    <row r="146" spans="1:26" ht="19.5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IFERROR(__xludf.DUMMYFUNCTION("IMPORTRANGE(""https://docs.google.com/spreadsheets/d/1QqKyyYR6Q21VydFLVH3TRQUabQu_ym0Zz7PgGX0-kHA/edit?usp=sharing"",""แผน!W82"")"),3)</f>
        <v>3</v>
      </c>
      <c r="J146" s="214">
        <v>3</v>
      </c>
      <c r="K146" s="497">
        <f ca="1">IF(I146&gt;0,J146*100/I146,0)</f>
        <v>100</v>
      </c>
      <c r="L146" s="497"/>
      <c r="M146" s="497"/>
      <c r="N146" s="497"/>
      <c r="O146" s="497"/>
      <c r="P146" s="497"/>
    </row>
    <row r="147" spans="1:26" ht="19.5" hidden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 hidden="1">
      <c r="A148" s="216"/>
      <c r="B148" s="208" t="s">
        <v>77</v>
      </c>
      <c r="C148" s="208"/>
      <c r="D148" s="208"/>
      <c r="E148" s="859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6"/>
      <c r="B149" s="147"/>
      <c r="C149" s="148" t="s">
        <v>16</v>
      </c>
      <c r="D149" s="846" t="s">
        <v>17</v>
      </c>
      <c r="E149" s="147"/>
      <c r="F149" s="147"/>
      <c r="G149" s="150"/>
      <c r="H149" s="151" t="s">
        <v>12</v>
      </c>
      <c r="I149" s="420"/>
      <c r="J149" s="420"/>
      <c r="K149" s="153"/>
      <c r="L149" s="154">
        <f ca="1">L150+L151</f>
        <v>0</v>
      </c>
      <c r="M149" s="154">
        <f ca="1">M150+M151</f>
        <v>0</v>
      </c>
      <c r="N149" s="154">
        <f ca="1">N150+N151</f>
        <v>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6"/>
      <c r="J150" s="616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6"/>
      <c r="J151" s="616"/>
      <c r="K151" s="92"/>
      <c r="L151" s="92">
        <f t="shared" ca="1" si="37"/>
        <v>0</v>
      </c>
      <c r="M151" s="92">
        <f t="shared" ca="1" si="37"/>
        <v>0</v>
      </c>
      <c r="N151" s="92">
        <f t="shared" ca="1" si="37"/>
        <v>0</v>
      </c>
      <c r="O151" s="92">
        <f t="shared" ca="1" si="35"/>
        <v>0</v>
      </c>
      <c r="P151" s="92">
        <f t="shared" ca="1" si="36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0</v>
      </c>
      <c r="N152" s="497">
        <f ca="1">N153+N154</f>
        <v>0</v>
      </c>
      <c r="O152" s="497">
        <f t="shared" ca="1" si="35"/>
        <v>0</v>
      </c>
      <c r="P152" s="497">
        <f t="shared" ca="1" si="36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IFERROR(__xludf.DUMMYFUNCTION("IMPORTRANGE(""https://docs.google.com/spreadsheets/d/1MeEWN-I1oV_STSDYn1IFDPWt_1FKiwhDph83XaGc0o0/edit?usp=sharing"",""งบพรบ!BU82"")"),0)</f>
        <v>0</v>
      </c>
      <c r="M154" s="92">
        <f ca="1">IFERROR(__xludf.DUMMYFUNCTION("IMPORTRANGE(""https://docs.google.com/spreadsheets/d/1MeEWN-I1oV_STSDYn1IFDPWt_1FKiwhDph83XaGc0o0/edit?usp=sharing"",""งบพรบ!BZ82"")"),0)</f>
        <v>0</v>
      </c>
      <c r="N154" s="92">
        <f ca="1">IFERROR(__xludf.DUMMYFUNCTION("IMPORTRANGE(""https://docs.google.com/spreadsheets/d/1MeEWN-I1oV_STSDYn1IFDPWt_1FKiwhDph83XaGc0o0/edit?usp=sharing"",""งบพรบ!CB82"")"),0)</f>
        <v>0</v>
      </c>
      <c r="O154" s="92">
        <f t="shared" ca="1" si="35"/>
        <v>0</v>
      </c>
      <c r="P154" s="92">
        <f t="shared" ca="1" si="36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IFERROR(__xludf.DUMMYFUNCTION("IMPORTRANGE(""https://docs.google.com/spreadsheets/d/1MeEWN-I1oV_STSDYn1IFDPWt_1FKiwhDph83XaGc0o0/edit?usp=sharing"",""งบพรบ!BX82"")"),0)</f>
        <v>0</v>
      </c>
      <c r="M157" s="92">
        <f ca="1">IFERROR(__xludf.DUMMYFUNCTION("IMPORTRANGE(""https://docs.google.com/spreadsheets/d/1MeEWN-I1oV_STSDYn1IFDPWt_1FKiwhDph83XaGc0o0/edit?usp=sharing"",""งบพรบ!CA82"")"),0)</f>
        <v>0</v>
      </c>
      <c r="N157" s="92">
        <f ca="1">IFERROR(__xludf.DUMMYFUNCTION("IMPORTRANGE(""https://docs.google.com/spreadsheets/d/1MeEWN-I1oV_STSDYn1IFDPWt_1FKiwhDph83XaGc0o0/edit?usp=sharing"",""งบพรบ!CC82"")"),0)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4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IFERROR(__xludf.DUMMYFUNCTION("IMPORTRANGE(""https://docs.google.com/spreadsheets/d/1QqKyyYR6Q21VydFLVH3TRQUabQu_ym0Zz7PgGX0-kHA/edit?usp=sharing"",""แผน!X82"")"),0)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6"/>
      <c r="J160" s="616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58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11</v>
      </c>
      <c r="J164" s="252">
        <f>J174+J177</f>
        <v>11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46" t="s">
        <v>17</v>
      </c>
      <c r="E165" s="147"/>
      <c r="F165" s="147"/>
      <c r="G165" s="150"/>
      <c r="H165" s="151" t="s">
        <v>12</v>
      </c>
      <c r="I165" s="420"/>
      <c r="J165" s="420"/>
      <c r="K165" s="153"/>
      <c r="L165" s="154">
        <f ca="1">L166+L167</f>
        <v>22055</v>
      </c>
      <c r="M165" s="154">
        <f ca="1">M166+M167</f>
        <v>75575</v>
      </c>
      <c r="N165" s="154">
        <f ca="1">N166+N167</f>
        <v>75575</v>
      </c>
      <c r="O165" s="154">
        <f t="shared" ref="O165:O173" ca="1" si="38">IF(L165&gt;0,N165*100/L165,0)</f>
        <v>342.66606211743368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6"/>
      <c r="J166" s="616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6"/>
      <c r="J167" s="616"/>
      <c r="K167" s="92"/>
      <c r="L167" s="92">
        <f t="shared" ca="1" si="40"/>
        <v>22055</v>
      </c>
      <c r="M167" s="92">
        <f t="shared" ca="1" si="40"/>
        <v>75575</v>
      </c>
      <c r="N167" s="92">
        <f t="shared" ca="1" si="40"/>
        <v>75575</v>
      </c>
      <c r="O167" s="92">
        <f t="shared" ca="1" si="38"/>
        <v>342.66606211743368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22055</v>
      </c>
      <c r="M168" s="497">
        <f ca="1">M169+M170</f>
        <v>75575</v>
      </c>
      <c r="N168" s="497">
        <f ca="1">N169+N170</f>
        <v>75575</v>
      </c>
      <c r="O168" s="497">
        <f t="shared" ca="1" si="38"/>
        <v>342.66606211743368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IFERROR(__xludf.DUMMYFUNCTION("IMPORTRANGE(""https://docs.google.com/spreadsheets/d/1MeEWN-I1oV_STSDYn1IFDPWt_1FKiwhDph83XaGc0o0/edit?usp=sharing"",""งบพรบ!CE82"")"),22055)</f>
        <v>22055</v>
      </c>
      <c r="M170" s="92">
        <f ca="1">IFERROR(__xludf.DUMMYFUNCTION("IMPORTRANGE(""https://docs.google.com/spreadsheets/d/1MeEWN-I1oV_STSDYn1IFDPWt_1FKiwhDph83XaGc0o0/edit?usp=sharing"",""งบพรบ!CJ82"")"),75575)</f>
        <v>75575</v>
      </c>
      <c r="N170" s="92">
        <f ca="1">IFERROR(__xludf.DUMMYFUNCTION("IMPORTRANGE(""https://docs.google.com/spreadsheets/d/1MeEWN-I1oV_STSDYn1IFDPWt_1FKiwhDph83XaGc0o0/edit?usp=sharing"",""งบพรบ!CL82"")"),75575)</f>
        <v>75575</v>
      </c>
      <c r="O170" s="92">
        <f t="shared" ca="1" si="38"/>
        <v>342.66606211743368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IFERROR(__xludf.DUMMYFUNCTION("IMPORTRANGE(""https://docs.google.com/spreadsheets/d/1MeEWN-I1oV_STSDYn1IFDPWt_1FKiwhDph83XaGc0o0/edit?usp=sharing"",""งบพรบ!CH82"")"),0)</f>
        <v>0</v>
      </c>
      <c r="M173" s="92">
        <f ca="1">IFERROR(__xludf.DUMMYFUNCTION("IMPORTRANGE(""https://docs.google.com/spreadsheets/d/1MeEWN-I1oV_STSDYn1IFDPWt_1FKiwhDph83XaGc0o0/edit?usp=sharing"",""งบพรบ!CK82"")"),0)</f>
        <v>0</v>
      </c>
      <c r="N173" s="92">
        <f ca="1">IFERROR(__xludf.DUMMYFUNCTION("IMPORTRANGE(""https://docs.google.com/spreadsheets/d/1MeEWN-I1oV_STSDYn1IFDPWt_1FKiwhDph83XaGc0o0/edit?usp=sharing"",""งบพรบ!CM82"")"),0)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11</v>
      </c>
      <c r="J174" s="260">
        <f>J176</f>
        <v>11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47" t="s">
        <v>38</v>
      </c>
      <c r="E175" s="172"/>
      <c r="F175" s="172"/>
      <c r="G175" s="173"/>
      <c r="H175" s="761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5" t="s">
        <v>85</v>
      </c>
      <c r="E176" s="177"/>
      <c r="F176" s="177"/>
      <c r="G176" s="178"/>
      <c r="H176" s="622" t="s">
        <v>35</v>
      </c>
      <c r="I176" s="269">
        <f ca="1">IFERROR(__xludf.DUMMYFUNCTION("IMPORTRANGE(""https://docs.google.com/spreadsheets/d/1QqKyyYR6Q21VydFLVH3TRQUabQu_ym0Zz7PgGX0-kHA/edit?usp=sharing"",""แผน!Y82"")"),11)</f>
        <v>11</v>
      </c>
      <c r="J176" s="214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61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46" t="s">
        <v>17</v>
      </c>
      <c r="E181" s="147"/>
      <c r="F181" s="147"/>
      <c r="G181" s="150"/>
      <c r="H181" s="151" t="s">
        <v>12</v>
      </c>
      <c r="I181" s="420"/>
      <c r="J181" s="420"/>
      <c r="K181" s="153"/>
      <c r="L181" s="154">
        <f ca="1">L182+L183</f>
        <v>38500</v>
      </c>
      <c r="M181" s="154">
        <f ca="1">M182+M183</f>
        <v>57440</v>
      </c>
      <c r="N181" s="154">
        <f ca="1">N182+N183</f>
        <v>57440</v>
      </c>
      <c r="O181" s="154">
        <f t="shared" ref="O181:O189" ca="1" si="41">IF(L181&gt;0,N181*100/L181,0)</f>
        <v>149.19480519480518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6"/>
      <c r="J182" s="616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6"/>
      <c r="J183" s="616"/>
      <c r="K183" s="92"/>
      <c r="L183" s="92">
        <f t="shared" ca="1" si="43"/>
        <v>38500</v>
      </c>
      <c r="M183" s="92">
        <f t="shared" ca="1" si="43"/>
        <v>57440</v>
      </c>
      <c r="N183" s="92">
        <f t="shared" ca="1" si="43"/>
        <v>57440</v>
      </c>
      <c r="O183" s="92">
        <f t="shared" ca="1" si="41"/>
        <v>149.19480519480518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38500</v>
      </c>
      <c r="M184" s="497">
        <f ca="1">M185+M186</f>
        <v>57440</v>
      </c>
      <c r="N184" s="497">
        <f ca="1">N185+N186</f>
        <v>57440</v>
      </c>
      <c r="O184" s="497">
        <f t="shared" ca="1" si="41"/>
        <v>149.19480519480518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IFERROR(__xludf.DUMMYFUNCTION("IMPORTRANGE(""https://docs.google.com/spreadsheets/d/1MeEWN-I1oV_STSDYn1IFDPWt_1FKiwhDph83XaGc0o0/edit?usp=sharing"",""งบพรบ!CO82"")"),38500)</f>
        <v>38500</v>
      </c>
      <c r="M186" s="92">
        <f ca="1">IFERROR(__xludf.DUMMYFUNCTION("IMPORTRANGE(""https://docs.google.com/spreadsheets/d/1MeEWN-I1oV_STSDYn1IFDPWt_1FKiwhDph83XaGc0o0/edit?usp=sharing"",""งบพรบ!CT82"")"),57440)</f>
        <v>57440</v>
      </c>
      <c r="N186" s="92">
        <f ca="1">IFERROR(__xludf.DUMMYFUNCTION("IMPORTRANGE(""https://docs.google.com/spreadsheets/d/1MeEWN-I1oV_STSDYn1IFDPWt_1FKiwhDph83XaGc0o0/edit?usp=sharing"",""งบพรบ!CV82"")"),57440)</f>
        <v>57440</v>
      </c>
      <c r="O186" s="92">
        <f t="shared" ca="1" si="41"/>
        <v>149.19480519480518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IFERROR(__xludf.DUMMYFUNCTION("IMPORTRANGE(""https://docs.google.com/spreadsheets/d/1MeEWN-I1oV_STSDYn1IFDPWt_1FKiwhDph83XaGc0o0/edit?usp=sharing"",""งบพรบ!CR82"")"),0)</f>
        <v>0</v>
      </c>
      <c r="M189" s="92">
        <f ca="1">IFERROR(__xludf.DUMMYFUNCTION("IMPORTRANGE(""https://docs.google.com/spreadsheets/d/1MeEWN-I1oV_STSDYn1IFDPWt_1FKiwhDph83XaGc0o0/edit?usp=sharing"",""งบพรบ!CU82"")"),0)</f>
        <v>0</v>
      </c>
      <c r="N189" s="92">
        <f ca="1">IFERROR(__xludf.DUMMYFUNCTION("IMPORTRANGE(""https://docs.google.com/spreadsheets/d/1MeEWN-I1oV_STSDYn1IFDPWt_1FKiwhDph83XaGc0o0/edit?usp=sharing"",""งบพรบ!CW82"")"),0)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54" t="s">
        <v>17</v>
      </c>
      <c r="E191" s="147"/>
      <c r="F191" s="147"/>
      <c r="G191" s="150"/>
      <c r="H191" s="274" t="s">
        <v>12</v>
      </c>
      <c r="I191" s="420"/>
      <c r="J191" s="420"/>
      <c r="K191" s="153"/>
      <c r="L191" s="154">
        <f ca="1">IFERROR(__xludf.DUMMYFUNCTION("IMPORTRANGE(""https://docs.google.com/spreadsheets/d/1QqKyyYR6Q21VydFLVH3TRQUabQu_ym0Zz7PgGX0-kHA/edit?usp=sharing"",""แผน!Z82"")"),6000)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47" t="s">
        <v>38</v>
      </c>
      <c r="E192" s="172"/>
      <c r="F192" s="172"/>
      <c r="G192" s="173"/>
      <c r="H192" s="761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7" t="s">
        <v>91</v>
      </c>
      <c r="E193" s="177"/>
      <c r="F193" s="177"/>
      <c r="G193" s="178"/>
      <c r="H193" s="763" t="s">
        <v>90</v>
      </c>
      <c r="I193" s="269">
        <f ca="1">IFERROR(__xludf.DUMMYFUNCTION("IMPORTRANGE(""https://docs.google.com/spreadsheets/d/1QqKyyYR6Q21VydFLVH3TRQUabQu_ym0Zz7PgGX0-kHA/edit?usp=sharing"",""แผน!AC82"")"),4)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7" t="s">
        <v>92</v>
      </c>
      <c r="E194" s="177"/>
      <c r="F194" s="177"/>
      <c r="G194" s="178"/>
      <c r="H194" s="276" t="s">
        <v>35</v>
      </c>
      <c r="I194" s="269"/>
      <c r="J194" s="269">
        <f>J195+J196</f>
        <v>80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7" t="s">
        <v>93</v>
      </c>
      <c r="F195" s="177"/>
      <c r="G195" s="178"/>
      <c r="H195" s="276" t="s">
        <v>35</v>
      </c>
      <c r="I195" s="269"/>
      <c r="J195" s="214">
        <v>80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7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2</v>
      </c>
      <c r="J197" s="271">
        <f>J204</f>
        <v>2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54" t="s">
        <v>17</v>
      </c>
      <c r="E198" s="147"/>
      <c r="F198" s="147"/>
      <c r="G198" s="150"/>
      <c r="H198" s="274" t="s">
        <v>12</v>
      </c>
      <c r="I198" s="419"/>
      <c r="J198" s="419"/>
      <c r="K198" s="279"/>
      <c r="L198" s="154">
        <f ca="1">L199+L200+L201+L202</f>
        <v>26000</v>
      </c>
      <c r="M198" s="154"/>
      <c r="N198" s="154">
        <f>N199+N200+N201+N202</f>
        <v>26000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IFERROR(__xludf.DUMMYFUNCTION("IMPORTRANGE(""https://docs.google.com/spreadsheets/d/1QqKyyYR6Q21VydFLVH3TRQUabQu_ym0Zz7PgGX0-kHA/edit?usp=sharing"",""แผน!AE82"")"),2000)</f>
        <v>2000</v>
      </c>
      <c r="M199" s="497"/>
      <c r="N199" s="826">
        <v>856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3"/>
      <c r="B200" s="280"/>
      <c r="C200" s="210"/>
      <c r="D200" s="281" t="s">
        <v>98</v>
      </c>
      <c r="E200" s="32"/>
      <c r="F200" s="32"/>
      <c r="G200" s="34"/>
      <c r="H200" s="622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IFERROR(__xludf.DUMMYFUNCTION("IMPORTRANGE(""https://docs.google.com/spreadsheets/d/1QqKyyYR6Q21VydFLVH3TRQUabQu_ym0Zz7PgGX0-kHA/edit?usp=sharing"",""แผน!AF82"")"),16000)</f>
        <v>16000</v>
      </c>
      <c r="M200" s="497"/>
      <c r="N200" s="826">
        <v>17144</v>
      </c>
      <c r="O200" s="497"/>
      <c r="P200" s="497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2"/>
      <c r="F201" s="32"/>
      <c r="G201" s="34"/>
      <c r="H201" s="622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IFERROR(__xludf.DUMMYFUNCTION("IMPORTRANGE(""https://docs.google.com/spreadsheets/d/1QqKyyYR6Q21VydFLVH3TRQUabQu_ym0Zz7PgGX0-kHA/edit?usp=sharing"",""แผน!AG82"")"),8000)</f>
        <v>8000</v>
      </c>
      <c r="M201" s="497"/>
      <c r="N201" s="826">
        <v>8000</v>
      </c>
      <c r="O201" s="497"/>
      <c r="P201" s="497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2"/>
      <c r="F202" s="32"/>
      <c r="G202" s="34"/>
      <c r="H202" s="622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IFERROR(__xludf.DUMMYFUNCTION("IMPORTRANGE(""https://docs.google.com/spreadsheets/d/1QqKyyYR6Q21VydFLVH3TRQUabQu_ym0Zz7PgGX0-kHA/edit?usp=sharing"",""แผน!AH82"")"),0)</f>
        <v>0</v>
      </c>
      <c r="M202" s="497"/>
      <c r="N202" s="826">
        <v>0</v>
      </c>
      <c r="O202" s="497"/>
      <c r="P202" s="497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69"/>
      <c r="B203" s="170"/>
      <c r="C203" s="210" t="s">
        <v>16</v>
      </c>
      <c r="D203" s="847" t="s">
        <v>38</v>
      </c>
      <c r="E203" s="172"/>
      <c r="F203" s="172"/>
      <c r="G203" s="173"/>
      <c r="H203" s="761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61" t="s">
        <v>96</v>
      </c>
      <c r="I204" s="269">
        <f ca="1">IFERROR(__xludf.DUMMYFUNCTION("IMPORTRANGE(""https://docs.google.com/spreadsheets/d/1QqKyyYR6Q21VydFLVH3TRQUabQu_ym0Zz7PgGX0-kHA/edit?usp=sharing"",""แผน!AI82"")"),2)</f>
        <v>2</v>
      </c>
      <c r="J204" s="214">
        <v>2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7" t="s">
        <v>59</v>
      </c>
      <c r="E205" s="177"/>
      <c r="F205" s="177"/>
      <c r="G205" s="178"/>
      <c r="H205" s="761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31" t="s">
        <v>102</v>
      </c>
      <c r="F206" s="286"/>
      <c r="G206" s="287"/>
      <c r="H206" s="288" t="s">
        <v>96</v>
      </c>
      <c r="I206" s="269">
        <v>2</v>
      </c>
      <c r="J206" s="214">
        <v>2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7"/>
      <c r="E207" s="447" t="s">
        <v>103</v>
      </c>
      <c r="F207" s="177"/>
      <c r="G207" s="177"/>
      <c r="H207" s="289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54" t="s">
        <v>17</v>
      </c>
      <c r="E209" s="147"/>
      <c r="F209" s="147"/>
      <c r="G209" s="150"/>
      <c r="H209" s="274" t="s">
        <v>12</v>
      </c>
      <c r="I209" s="419"/>
      <c r="J209" s="419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IFERROR(__xludf.DUMMYFUNCTION("IMPORTRANGE(""https://docs.google.com/spreadsheets/d/1QqKyyYR6Q21VydFLVH3TRQUabQu_ym0Zz7PgGX0-kHA/edit?usp=sharing"",""แผน!AK82"")"),0)</f>
        <v>0</v>
      </c>
      <c r="M210" s="497"/>
      <c r="N210" s="826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3"/>
      <c r="B211" s="280"/>
      <c r="C211" s="291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IFERROR(__xludf.DUMMYFUNCTION("IMPORTRANGE(""https://docs.google.com/spreadsheets/d/1QqKyyYR6Q21VydFLVH3TRQUabQu_ym0Zz7PgGX0-kHA/edit?usp=sharing"",""แผน!AL82"")"),0)</f>
        <v>0</v>
      </c>
      <c r="M211" s="497"/>
      <c r="N211" s="826">
        <v>0</v>
      </c>
      <c r="O211" s="497"/>
      <c r="P211" s="497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IFERROR(__xludf.DUMMYFUNCTION("IMPORTRANGE(""https://docs.google.com/spreadsheets/d/1QqKyyYR6Q21VydFLVH3TRQUabQu_ym0Zz7PgGX0-kHA/edit?usp=sharing"",""แผน!AM82"")"),0)</f>
        <v>0</v>
      </c>
      <c r="M212" s="497"/>
      <c r="N212" s="826">
        <v>0</v>
      </c>
      <c r="O212" s="497"/>
      <c r="P212" s="497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69"/>
      <c r="B213" s="170"/>
      <c r="C213" s="291" t="s">
        <v>16</v>
      </c>
      <c r="D213" s="847" t="s">
        <v>38</v>
      </c>
      <c r="E213" s="172"/>
      <c r="F213" s="172"/>
      <c r="G213" s="173"/>
      <c r="H213" s="761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61" t="s">
        <v>96</v>
      </c>
      <c r="I214" s="269">
        <f ca="1">IFERROR(__xludf.DUMMYFUNCTION("IMPORTRANGE(""https://docs.google.com/spreadsheets/d/1QqKyyYR6Q21VydFLVH3TRQUabQu_ym0Zz7PgGX0-kHA/edit?usp=sharing"",""แผน!AN82"")"),0)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61" t="s">
        <v>96</v>
      </c>
      <c r="I215" s="269">
        <f ca="1">IFERROR(__xludf.DUMMYFUNCTION("IMPORTRANGE(""https://docs.google.com/spreadsheets/d/1QqKyyYR6Q21VydFLVH3TRQUabQu_ym0Zz7PgGX0-kHA/edit?usp=sharing"",""แผน!AN82"")"),0)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ca="1">I224</f>
        <v>10000</v>
      </c>
      <c r="J216" s="271">
        <f>J224</f>
        <v>10000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54" t="s">
        <v>17</v>
      </c>
      <c r="E217" s="147"/>
      <c r="F217" s="147"/>
      <c r="G217" s="150"/>
      <c r="H217" s="274" t="s">
        <v>12</v>
      </c>
      <c r="I217" s="419"/>
      <c r="J217" s="419"/>
      <c r="K217" s="279"/>
      <c r="L217" s="154">
        <f ca="1">L218+L219+L220</f>
        <v>6500</v>
      </c>
      <c r="M217" s="154"/>
      <c r="N217" s="154">
        <f>N218+N219+N220</f>
        <v>6500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IFERROR(__xludf.DUMMYFUNCTION("IMPORTRANGE(""https://docs.google.com/spreadsheets/d/1QqKyyYR6Q21VydFLVH3TRQUabQu_ym0Zz7PgGX0-kHA/edit?usp=sharing"",""แผน!AP82"")"),3000)</f>
        <v>3000</v>
      </c>
      <c r="M218" s="497"/>
      <c r="N218" s="826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3"/>
      <c r="B219" s="280"/>
      <c r="C219" s="291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IFERROR(__xludf.DUMMYFUNCTION("IMPORTRANGE(""https://docs.google.com/spreadsheets/d/1QqKyyYR6Q21VydFLVH3TRQUabQu_ym0Zz7PgGX0-kHA/edit?usp=sharing"",""แผน!AQ82"")"),3500)</f>
        <v>3500</v>
      </c>
      <c r="M219" s="497"/>
      <c r="N219" s="826">
        <v>3500</v>
      </c>
      <c r="O219" s="497"/>
      <c r="P219" s="497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IFERROR(__xludf.DUMMYFUNCTION("IMPORTRANGE(""https://docs.google.com/spreadsheets/d/1QqKyyYR6Q21VydFLVH3TRQUabQu_ym0Zz7PgGX0-kHA/edit?usp=sharing"",""แผน!AR82"")"),0)</f>
        <v>0</v>
      </c>
      <c r="M220" s="497"/>
      <c r="N220" s="826">
        <v>0</v>
      </c>
      <c r="O220" s="497"/>
      <c r="P220" s="497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69"/>
      <c r="B221" s="170"/>
      <c r="C221" s="291" t="s">
        <v>16</v>
      </c>
      <c r="D221" s="847" t="s">
        <v>38</v>
      </c>
      <c r="E221" s="172"/>
      <c r="F221" s="172"/>
      <c r="G221" s="173"/>
      <c r="H221" s="761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61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63" t="s">
        <v>109</v>
      </c>
      <c r="I223" s="269">
        <f ca="1">IFERROR(__xludf.DUMMYFUNCTION("IMPORTRANGE(""https://docs.google.com/spreadsheets/d/1QqKyyYR6Q21VydFLVH3TRQUabQu_ym0Zz7PgGX0-kHA/edit?usp=sharing"",""แผน!AT82"")"),10000)</f>
        <v>10000</v>
      </c>
      <c r="J223" s="214">
        <v>10000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63" t="s">
        <v>109</v>
      </c>
      <c r="I224" s="269">
        <f ca="1">IFERROR(__xludf.DUMMYFUNCTION("IMPORTRANGE(""https://docs.google.com/spreadsheets/d/1QqKyyYR6Q21VydFLVH3TRQUabQu_ym0Zz7PgGX0-kHA/edit?usp=sharing"",""แผน!AT82"")"),10000)</f>
        <v>10000</v>
      </c>
      <c r="J224" s="214">
        <v>10000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63" t="s">
        <v>35</v>
      </c>
      <c r="I225" s="269">
        <f ca="1">IFERROR(__xludf.DUMMYFUNCTION("IMPORTRANGE(""https://docs.google.com/spreadsheets/d/1QqKyyYR6Q21VydFLVH3TRQUabQu_ym0Zz7PgGX0-kHA/edit?usp=sharing"",""แผน!AS82"")"),0)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0</v>
      </c>
      <c r="J226" s="344">
        <f>J237+J248</f>
        <v>0</v>
      </c>
      <c r="K226" s="345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0</v>
      </c>
      <c r="M227" s="355"/>
      <c r="N227" s="355">
        <f>N238+N249</f>
        <v>0</v>
      </c>
      <c r="O227" s="855"/>
      <c r="P227" s="85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6"/>
      <c r="J229" s="616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6"/>
      <c r="J230" s="616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6"/>
      <c r="J231" s="616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6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6">
        <f ca="1">I244+I255</f>
        <v>0</v>
      </c>
      <c r="J233" s="616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6"/>
      <c r="J234" s="616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6">
        <f>I246+I257</f>
        <v>0</v>
      </c>
      <c r="J235" s="616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6">
        <f>I247+I258</f>
        <v>0</v>
      </c>
      <c r="J236" s="616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270" t="s">
        <v>332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46" t="s">
        <v>17</v>
      </c>
      <c r="E238" s="147"/>
      <c r="F238" s="147"/>
      <c r="G238" s="150"/>
      <c r="H238" s="274" t="s">
        <v>12</v>
      </c>
      <c r="I238" s="419"/>
      <c r="J238" s="419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IFERROR(__xludf.DUMMYFUNCTION("IMPORTRANGE(""https://docs.google.com/spreadsheets/d/1QqKyyYR6Q21VydFLVH3TRQUabQu_ym0Zz7PgGX0-kHA/edit?usp=sharing"",""แผน!AV82"")"),0)</f>
        <v>0</v>
      </c>
      <c r="M239" s="321"/>
      <c r="N239" s="853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IFERROR(__xludf.DUMMYFUNCTION("IMPORTRANGE(""https://docs.google.com/spreadsheets/d/1QqKyyYR6Q21VydFLVH3TRQUabQu_ym0Zz7PgGX0-kHA/edit?usp=sharing"",""แผน!AW82"")"),0)</f>
        <v>0</v>
      </c>
      <c r="M240" s="321"/>
      <c r="N240" s="853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IFERROR(__xludf.DUMMYFUNCTION("IMPORTRANGE(""https://docs.google.com/spreadsheets/d/1QqKyyYR6Q21VydFLVH3TRQUabQu_ym0Zz7PgGX0-kHA/edit?usp=sharing"",""แผน!AX82"")"),0)</f>
        <v>0</v>
      </c>
      <c r="M241" s="321"/>
      <c r="N241" s="853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IFERROR(__xludf.DUMMYFUNCTION("IMPORTRANGE(""https://docs.google.com/spreadsheets/d/1QqKyyYR6Q21VydFLVH3TRQUabQu_ym0Zz7PgGX0-kHA/edit?usp=sharing"",""แผน!AY82"")"),0)</f>
        <v>0</v>
      </c>
      <c r="M242" s="321"/>
      <c r="N242" s="853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1" t="s">
        <v>16</v>
      </c>
      <c r="D243" s="847" t="s">
        <v>38</v>
      </c>
      <c r="E243" s="172"/>
      <c r="F243" s="172"/>
      <c r="G243" s="173"/>
      <c r="H243" s="761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47" t="s">
        <v>117</v>
      </c>
      <c r="E244" s="177"/>
      <c r="F244" s="177"/>
      <c r="G244" s="178"/>
      <c r="H244" s="763" t="s">
        <v>35</v>
      </c>
      <c r="I244" s="269">
        <f ca="1">IFERROR(__xludf.DUMMYFUNCTION("IMPORTRANGE(""https://docs.google.com/spreadsheets/d/1QqKyyYR6Q21VydFLVH3TRQUabQu_ym0Zz7PgGX0-kHA/edit?usp=sharing"",""แผน!BE82"")"),0)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852" t="s">
        <v>43</v>
      </c>
      <c r="E245" s="177"/>
      <c r="F245" s="177"/>
      <c r="G245" s="178"/>
      <c r="H245" s="763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175" t="s">
        <v>118</v>
      </c>
      <c r="F246" s="177"/>
      <c r="G246" s="178"/>
      <c r="H246" s="763" t="s">
        <v>35</v>
      </c>
      <c r="I246" s="269"/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763" t="s">
        <v>66</v>
      </c>
      <c r="I247" s="269"/>
      <c r="J247" s="214">
        <v>0</v>
      </c>
      <c r="K247" s="497">
        <f>IF(I247&gt;0,J247*100/I247,0)</f>
        <v>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54" t="s">
        <v>17</v>
      </c>
      <c r="E249" s="147"/>
      <c r="F249" s="147"/>
      <c r="G249" s="150"/>
      <c r="H249" s="274" t="s">
        <v>12</v>
      </c>
      <c r="I249" s="419"/>
      <c r="J249" s="419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IFERROR(__xludf.DUMMYFUNCTION("IMPORTRANGE(""https://docs.google.com/spreadsheets/d/1QqKyyYR6Q21VydFLVH3TRQUabQu_ym0Zz7PgGX0-kHA/edit?usp=sharing"",""แผน!AZ82"")"),0)</f>
        <v>0</v>
      </c>
      <c r="M250" s="321"/>
      <c r="N250" s="853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IFERROR(__xludf.DUMMYFUNCTION("IMPORTRANGE(""https://docs.google.com/spreadsheets/d/1QqKyyYR6Q21VydFLVH3TRQUabQu_ym0Zz7PgGX0-kHA/edit?usp=sharing"",""แผน!BA82"")"),0)</f>
        <v>0</v>
      </c>
      <c r="M251" s="321"/>
      <c r="N251" s="853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IFERROR(__xludf.DUMMYFUNCTION("IMPORTRANGE(""https://docs.google.com/spreadsheets/d/1QqKyyYR6Q21VydFLVH3TRQUabQu_ym0Zz7PgGX0-kHA/edit?usp=sharing"",""แผน!BB82"")"),0)</f>
        <v>0</v>
      </c>
      <c r="M252" s="321"/>
      <c r="N252" s="853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IFERROR(__xludf.DUMMYFUNCTION("IMPORTRANGE(""https://docs.google.com/spreadsheets/d/1QqKyyYR6Q21VydFLVH3TRQUabQu_ym0Zz7PgGX0-kHA/edit?usp=sharing"",""แผน!BC82"")"),0)</f>
        <v>0</v>
      </c>
      <c r="M253" s="321"/>
      <c r="N253" s="853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1" t="s">
        <v>16</v>
      </c>
      <c r="D254" s="847" t="s">
        <v>38</v>
      </c>
      <c r="E254" s="172"/>
      <c r="F254" s="172"/>
      <c r="G254" s="173"/>
      <c r="H254" s="761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7" t="s">
        <v>117</v>
      </c>
      <c r="E255" s="177"/>
      <c r="F255" s="177"/>
      <c r="G255" s="178"/>
      <c r="H255" s="763" t="s">
        <v>35</v>
      </c>
      <c r="I255" s="269">
        <f ca="1">IFERROR(__xludf.DUMMYFUNCTION("IMPORTRANGE(""https://docs.google.com/spreadsheets/d/1QqKyyYR6Q21VydFLVH3TRQUabQu_ym0Zz7PgGX0-kHA/edit?usp=sharing"",""แผน!BF82"")"),0)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52" t="s">
        <v>43</v>
      </c>
      <c r="E256" s="177"/>
      <c r="F256" s="177"/>
      <c r="G256" s="178"/>
      <c r="H256" s="763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63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63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20</v>
      </c>
      <c r="J260" s="252">
        <f>J271</f>
        <v>20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46" t="s">
        <v>17</v>
      </c>
      <c r="E261" s="147"/>
      <c r="F261" s="147"/>
      <c r="G261" s="150"/>
      <c r="H261" s="151" t="s">
        <v>12</v>
      </c>
      <c r="I261" s="420"/>
      <c r="J261" s="420"/>
      <c r="K261" s="153"/>
      <c r="L261" s="154">
        <f ca="1">L262+L263</f>
        <v>25000</v>
      </c>
      <c r="M261" s="154">
        <f ca="1">M262+M263</f>
        <v>25000</v>
      </c>
      <c r="N261" s="154">
        <f ca="1">N262+N263</f>
        <v>25000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6"/>
      <c r="J262" s="616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6"/>
      <c r="J263" s="616"/>
      <c r="K263" s="92"/>
      <c r="L263" s="92">
        <f t="shared" ca="1" si="46"/>
        <v>25000</v>
      </c>
      <c r="M263" s="92">
        <f t="shared" ca="1" si="46"/>
        <v>25000</v>
      </c>
      <c r="N263" s="92">
        <f t="shared" ca="1" si="46"/>
        <v>25000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25000</v>
      </c>
      <c r="M264" s="497">
        <f ca="1">M265+M266</f>
        <v>25000</v>
      </c>
      <c r="N264" s="497">
        <f ca="1">N265+N266</f>
        <v>25000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IFERROR(__xludf.DUMMYFUNCTION("IMPORTRANGE(""https://docs.google.com/spreadsheets/d/1MeEWN-I1oV_STSDYn1IFDPWt_1FKiwhDph83XaGc0o0/edit?usp=sharing"",""งบพรบ!CY82"")"),25000)</f>
        <v>25000</v>
      </c>
      <c r="M266" s="92">
        <f ca="1">IFERROR(__xludf.DUMMYFUNCTION("IMPORTRANGE(""https://docs.google.com/spreadsheets/d/1MeEWN-I1oV_STSDYn1IFDPWt_1FKiwhDph83XaGc0o0/edit?usp=sharing"",""งบพรบ!DD82"")"),25000)</f>
        <v>25000</v>
      </c>
      <c r="N266" s="92">
        <f ca="1">IFERROR(__xludf.DUMMYFUNCTION("IMPORTRANGE(""https://docs.google.com/spreadsheets/d/1MeEWN-I1oV_STSDYn1IFDPWt_1FKiwhDph83XaGc0o0/edit?usp=sharing"",""งบพรบ!DF82"")"),25000)</f>
        <v>25000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IFERROR(__xludf.DUMMYFUNCTION("IMPORTRANGE(""https://docs.google.com/spreadsheets/d/1MeEWN-I1oV_STSDYn1IFDPWt_1FKiwhDph83XaGc0o0/edit?usp=sharing"",""งบพรบ!DB82"")"),0)</f>
        <v>0</v>
      </c>
      <c r="M269" s="92">
        <f ca="1">IFERROR(__xludf.DUMMYFUNCTION("IMPORTRANGE(""https://docs.google.com/spreadsheets/d/1MeEWN-I1oV_STSDYn1IFDPWt_1FKiwhDph83XaGc0o0/edit?usp=sharing"",""งบพรบ!DE82"")"),0)</f>
        <v>0</v>
      </c>
      <c r="N269" s="92">
        <f ca="1">IFERROR(__xludf.DUMMYFUNCTION("IMPORTRANGE(""https://docs.google.com/spreadsheets/d/1MeEWN-I1oV_STSDYn1IFDPWt_1FKiwhDph83XaGc0o0/edit?usp=sharing"",""งบพรบ!DG82"")"),0)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47" t="s">
        <v>38</v>
      </c>
      <c r="E270" s="172"/>
      <c r="F270" s="172"/>
      <c r="G270" s="173"/>
      <c r="H270" s="761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IFERROR(__xludf.DUMMYFUNCTION("IMPORTRANGE(""https://docs.google.com/spreadsheets/d/1QqKyyYR6Q21VydFLVH3TRQUabQu_ym0Zz7PgGX0-kHA/edit?usp=sharing"",""แผน!EA82"")"),20)</f>
        <v>20</v>
      </c>
      <c r="J271" s="214">
        <v>20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5">
        <v>0</v>
      </c>
      <c r="J272" s="505">
        <v>0</v>
      </c>
      <c r="K272" s="384">
        <v>0</v>
      </c>
      <c r="L272" s="384"/>
      <c r="M272" s="384"/>
      <c r="N272" s="384"/>
      <c r="O272" s="384"/>
      <c r="P272" s="384"/>
    </row>
    <row r="273" spans="1:26" ht="19.5" hidden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9">
        <f ca="1">I287</f>
        <v>0</v>
      </c>
      <c r="J276" s="409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46" t="s">
        <v>17</v>
      </c>
      <c r="E277" s="147"/>
      <c r="F277" s="147"/>
      <c r="G277" s="150"/>
      <c r="H277" s="151" t="s">
        <v>12</v>
      </c>
      <c r="I277" s="420"/>
      <c r="J277" s="420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6"/>
      <c r="J278" s="616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6"/>
      <c r="J279" s="616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IFERROR(__xludf.DUMMYFUNCTION("IMPORTRANGE(""https://docs.google.com/spreadsheets/d/1MeEWN-I1oV_STSDYn1IFDPWt_1FKiwhDph83XaGc0o0/edit?usp=sharing"",""งบพรบ!DI82"")"),0)</f>
        <v>0</v>
      </c>
      <c r="M282" s="92">
        <f ca="1">IFERROR(__xludf.DUMMYFUNCTION("IMPORTRANGE(""https://docs.google.com/spreadsheets/d/1MeEWN-I1oV_STSDYn1IFDPWt_1FKiwhDph83XaGc0o0/edit?usp=sharing"",""งบพรบ!DN82"")"),0)</f>
        <v>0</v>
      </c>
      <c r="N282" s="92">
        <f ca="1">IFERROR(__xludf.DUMMYFUNCTION("IMPORTRANGE(""https://docs.google.com/spreadsheets/d/1MeEWN-I1oV_STSDYn1IFDPWt_1FKiwhDph83XaGc0o0/edit?usp=sharing"",""งบพรบ!DP82"")"),0)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IFERROR(__xludf.DUMMYFUNCTION("IMPORTRANGE(""https://docs.google.com/spreadsheets/d/1MeEWN-I1oV_STSDYn1IFDPWt_1FKiwhDph83XaGc0o0/edit?usp=sharing"",""งบพรบ!DL82"")"),0)</f>
        <v>0</v>
      </c>
      <c r="M285" s="92">
        <f ca="1">IFERROR(__xludf.DUMMYFUNCTION("IMPORTRANGE(""https://docs.google.com/spreadsheets/d/1MeEWN-I1oV_STSDYn1IFDPWt_1FKiwhDph83XaGc0o0/edit?usp=sharing"",""งบพรบ!DO82"")"),0)</f>
        <v>0</v>
      </c>
      <c r="N285" s="92">
        <f ca="1">IFERROR(__xludf.DUMMYFUNCTION("IMPORTRANGE(""https://docs.google.com/spreadsheets/d/1MeEWN-I1oV_STSDYn1IFDPWt_1FKiwhDph83XaGc0o0/edit?usp=sharing"",""งบพรบ!DQ82"")"),0)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47" t="s">
        <v>38</v>
      </c>
      <c r="E286" s="172"/>
      <c r="F286" s="172"/>
      <c r="G286" s="173"/>
      <c r="H286" s="761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5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IFERROR(__xludf.DUMMYFUNCTION("IMPORTRANGE(""https://docs.google.com/spreadsheets/d/1QqKyyYR6Q21VydFLVH3TRQUabQu_ym0Zz7PgGX0-kHA/edit?usp=sharing"",""แผน!EC82"")"),0)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5" t="s">
        <v>130</v>
      </c>
      <c r="E288" s="170"/>
      <c r="F288" s="177"/>
      <c r="G288" s="178"/>
      <c r="H288" s="179" t="s">
        <v>35</v>
      </c>
      <c r="I288" s="680">
        <f ca="1">IFERROR(__xludf.DUMMYFUNCTION("IMPORTRANGE(""https://docs.google.com/spreadsheets/d/1QqKyyYR6Q21VydFLVH3TRQUabQu_ym0Zz7PgGX0-kHA/edit?usp=sharing"",""แผน!EB82"")"),0)</f>
        <v>0</v>
      </c>
      <c r="J288" s="680">
        <f ca="1">IF(AND(J291&gt;=I288,J294&gt;=I288),J294,0)</f>
        <v>0</v>
      </c>
      <c r="K288" s="411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2"/>
      <c r="E289" s="413" t="s">
        <v>131</v>
      </c>
      <c r="F289" s="177"/>
      <c r="G289" s="178"/>
      <c r="H289" s="763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2"/>
      <c r="E290" s="625" t="s">
        <v>132</v>
      </c>
      <c r="F290" s="177"/>
      <c r="G290" s="178"/>
      <c r="H290" s="763" t="s">
        <v>35</v>
      </c>
      <c r="I290" s="183">
        <f ca="1">IFERROR(__xludf.DUMMYFUNCTION("IMPORTRANGE(""https://docs.google.com/spreadsheets/d/1QqKyyYR6Q21VydFLVH3TRQUabQu_ym0Zz7PgGX0-kHA/edit?usp=sharing"",""แผน!EB82"")"),0)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5" t="s">
        <v>336</v>
      </c>
      <c r="F291" s="177"/>
      <c r="G291" s="178"/>
      <c r="H291" s="763" t="s">
        <v>35</v>
      </c>
      <c r="I291" s="183">
        <f ca="1">IFERROR(__xludf.DUMMYFUNCTION("IMPORTRANGE(""https://docs.google.com/spreadsheets/d/1QqKyyYR6Q21VydFLVH3TRQUabQu_ym0Zz7PgGX0-kHA/edit?usp=sharing"",""แผน!EB82"")"),0)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4"/>
      <c r="B292" s="415"/>
      <c r="C292" s="415"/>
      <c r="D292" s="416"/>
      <c r="E292" s="417" t="s">
        <v>134</v>
      </c>
      <c r="F292" s="286"/>
      <c r="G292" s="287"/>
      <c r="H292" s="418"/>
      <c r="I292" s="419"/>
      <c r="J292" s="420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2"/>
      <c r="E293" s="625" t="s">
        <v>132</v>
      </c>
      <c r="F293" s="177"/>
      <c r="G293" s="178"/>
      <c r="H293" s="763" t="s">
        <v>35</v>
      </c>
      <c r="I293" s="183">
        <f ca="1">IFERROR(__xludf.DUMMYFUNCTION("IMPORTRANGE(""https://docs.google.com/spreadsheets/d/1QqKyyYR6Q21VydFLVH3TRQUabQu_ym0Zz7PgGX0-kHA/edit?usp=sharing"",""แผน!EB82"")"),0)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33" t="s">
        <v>336</v>
      </c>
      <c r="F294" s="380"/>
      <c r="G294" s="381"/>
      <c r="H294" s="422" t="s">
        <v>35</v>
      </c>
      <c r="I294" s="423">
        <f ca="1">IFERROR(__xludf.DUMMYFUNCTION("IMPORTRANGE(""https://docs.google.com/spreadsheets/d/1QqKyyYR6Q21VydFLVH3TRQUabQu_ym0Zz7PgGX0-kHA/edit?usp=sharing"",""แผน!EB82"")"),0)</f>
        <v>0</v>
      </c>
      <c r="J294" s="424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20</v>
      </c>
      <c r="J297" s="444">
        <f>J309</f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6"/>
      <c r="B298" s="147"/>
      <c r="C298" s="148" t="s">
        <v>16</v>
      </c>
      <c r="D298" s="846" t="s">
        <v>17</v>
      </c>
      <c r="E298" s="147"/>
      <c r="F298" s="147"/>
      <c r="G298" s="150"/>
      <c r="H298" s="151" t="s">
        <v>12</v>
      </c>
      <c r="I298" s="420"/>
      <c r="J298" s="420"/>
      <c r="K298" s="153"/>
      <c r="L298" s="154">
        <f ca="1">L299+L300</f>
        <v>82400</v>
      </c>
      <c r="M298" s="154">
        <f ca="1">M299+M300</f>
        <v>82400</v>
      </c>
      <c r="N298" s="154">
        <f ca="1">N299+N300</f>
        <v>82400</v>
      </c>
      <c r="O298" s="154">
        <f t="shared" ref="O298:O306" ca="1" si="50">IF(L298&gt;0,N298*100/L298,0)</f>
        <v>100</v>
      </c>
      <c r="P298" s="154">
        <f t="shared" ref="P298:P306" ca="1" si="51">IF(M298&gt;0,N298*100/M298,0)</f>
        <v>100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6"/>
      <c r="J299" s="616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6"/>
      <c r="J300" s="616"/>
      <c r="K300" s="92"/>
      <c r="L300" s="92">
        <f t="shared" ca="1" si="52"/>
        <v>82400</v>
      </c>
      <c r="M300" s="92">
        <f t="shared" ca="1" si="52"/>
        <v>82400</v>
      </c>
      <c r="N300" s="92">
        <f t="shared" ca="1" si="52"/>
        <v>82400</v>
      </c>
      <c r="O300" s="92">
        <f t="shared" ca="1" si="50"/>
        <v>100</v>
      </c>
      <c r="P300" s="92">
        <f t="shared" ca="1" si="51"/>
        <v>100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82400</v>
      </c>
      <c r="M301" s="497">
        <f ca="1">M302+M303</f>
        <v>82400</v>
      </c>
      <c r="N301" s="497">
        <f ca="1">N302+N303</f>
        <v>82400</v>
      </c>
      <c r="O301" s="497">
        <f t="shared" ca="1" si="50"/>
        <v>100</v>
      </c>
      <c r="P301" s="497">
        <f t="shared" ca="1" si="51"/>
        <v>100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IFERROR(__xludf.DUMMYFUNCTION("IMPORTRANGE(""https://docs.google.com/spreadsheets/d/1MeEWN-I1oV_STSDYn1IFDPWt_1FKiwhDph83XaGc0o0/edit?usp=sharing"",""งบพรบ!DS82"")"),82400)</f>
        <v>82400</v>
      </c>
      <c r="M303" s="92">
        <f ca="1">IFERROR(__xludf.DUMMYFUNCTION("IMPORTRANGE(""https://docs.google.com/spreadsheets/d/1MeEWN-I1oV_STSDYn1IFDPWt_1FKiwhDph83XaGc0o0/edit?usp=sharing"",""งบพรบ!DX82"")"),82400)</f>
        <v>82400</v>
      </c>
      <c r="N303" s="92">
        <f ca="1">IFERROR(__xludf.DUMMYFUNCTION("IMPORTRANGE(""https://docs.google.com/spreadsheets/d/1MeEWN-I1oV_STSDYn1IFDPWt_1FKiwhDph83XaGc0o0/edit?usp=sharing"",""งบพรบ!DZ82"")"),82400)</f>
        <v>82400</v>
      </c>
      <c r="O303" s="92">
        <f t="shared" ca="1" si="50"/>
        <v>100</v>
      </c>
      <c r="P303" s="92">
        <f t="shared" ca="1" si="51"/>
        <v>100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IFERROR(__xludf.DUMMYFUNCTION("IMPORTRANGE(""https://docs.google.com/spreadsheets/d/1MeEWN-I1oV_STSDYn1IFDPWt_1FKiwhDph83XaGc0o0/edit?usp=sharing"",""งบพรบ!DV82"")"),0)</f>
        <v>0</v>
      </c>
      <c r="M306" s="92">
        <f ca="1">IFERROR(__xludf.DUMMYFUNCTION("IMPORTRANGE(""https://docs.google.com/spreadsheets/d/1MeEWN-I1oV_STSDYn1IFDPWt_1FKiwhDph83XaGc0o0/edit?usp=sharing"",""งบพรบ!DY82"")"),0)</f>
        <v>0</v>
      </c>
      <c r="N306" s="92">
        <f ca="1">IFERROR(__xludf.DUMMYFUNCTION("IMPORTRANGE(""https://docs.google.com/spreadsheets/d/1MeEWN-I1oV_STSDYn1IFDPWt_1FKiwhDph83XaGc0o0/edit?usp=sharing"",""งบพรบ!EA82"")"),0)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47" t="s">
        <v>38</v>
      </c>
      <c r="E307" s="172"/>
      <c r="F307" s="172"/>
      <c r="G307" s="173"/>
      <c r="H307" s="761"/>
      <c r="I307" s="269"/>
      <c r="J307" s="269"/>
      <c r="K307" s="497"/>
      <c r="L307" s="497"/>
      <c r="M307" s="497"/>
      <c r="N307" s="497"/>
      <c r="O307" s="497"/>
      <c r="P307" s="497"/>
    </row>
    <row r="308" spans="1:26" ht="18.75">
      <c r="A308" s="169"/>
      <c r="B308" s="170"/>
      <c r="C308" s="170"/>
      <c r="D308" s="447" t="s">
        <v>140</v>
      </c>
      <c r="E308" s="447"/>
      <c r="F308" s="447"/>
      <c r="G308" s="178"/>
      <c r="H308" s="763"/>
      <c r="I308" s="269"/>
      <c r="J308" s="214">
        <v>1</v>
      </c>
      <c r="K308" s="497"/>
      <c r="L308" s="497"/>
      <c r="M308" s="497"/>
      <c r="N308" s="497"/>
      <c r="O308" s="497"/>
      <c r="P308" s="497"/>
    </row>
    <row r="309" spans="1:26" ht="18.75">
      <c r="A309" s="169"/>
      <c r="B309" s="170"/>
      <c r="C309" s="170"/>
      <c r="D309" s="447" t="s">
        <v>141</v>
      </c>
      <c r="E309" s="447"/>
      <c r="F309" s="447"/>
      <c r="G309" s="178"/>
      <c r="H309" s="763" t="s">
        <v>35</v>
      </c>
      <c r="I309" s="269">
        <f ca="1">IFERROR(__xludf.DUMMYFUNCTION("IMPORTRANGE(""https://docs.google.com/spreadsheets/d/1QqKyyYR6Q21VydFLVH3TRQUabQu_ym0Zz7PgGX0-kHA/edit?usp=sharing"",""แผน!ED82"")"),20)</f>
        <v>20</v>
      </c>
      <c r="J309" s="214">
        <v>20</v>
      </c>
      <c r="K309" s="497">
        <f ca="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69"/>
      <c r="B310" s="170"/>
      <c r="C310" s="170"/>
      <c r="D310" s="447" t="s">
        <v>142</v>
      </c>
      <c r="E310" s="447"/>
      <c r="F310" s="447"/>
      <c r="G310" s="178"/>
      <c r="H310" s="763" t="s">
        <v>35</v>
      </c>
      <c r="I310" s="269">
        <f ca="1">IFERROR(__xludf.DUMMYFUNCTION("IMPORTRANGE(""https://docs.google.com/spreadsheets/d/1QqKyyYR6Q21VydFLVH3TRQUabQu_ym0Zz7PgGX0-kHA/edit?usp=sharing"",""แผน!ED82"")"),20)</f>
        <v>20</v>
      </c>
      <c r="J310" s="214">
        <v>20</v>
      </c>
      <c r="K310" s="497">
        <f ca="1">IF(I310&gt;0,J310*100/I310,0)</f>
        <v>100</v>
      </c>
      <c r="L310" s="497"/>
      <c r="M310" s="497"/>
      <c r="N310" s="497"/>
      <c r="O310" s="497"/>
      <c r="P310" s="497"/>
    </row>
    <row r="311" spans="1:26" ht="18.75">
      <c r="A311" s="169"/>
      <c r="B311" s="170"/>
      <c r="C311" s="170"/>
      <c r="D311" s="447" t="s">
        <v>59</v>
      </c>
      <c r="E311" s="447"/>
      <c r="F311" s="447"/>
      <c r="G311" s="178"/>
      <c r="H311" s="763" t="s">
        <v>35</v>
      </c>
      <c r="I311" s="269">
        <f ca="1">IFERROR(__xludf.DUMMYFUNCTION("IMPORTRANGE(""https://docs.google.com/spreadsheets/d/1QqKyyYR6Q21VydFLVH3TRQUabQu_ym0Zz7PgGX0-kHA/edit?usp=sharing"",""แผน!ED82"")"),20)</f>
        <v>20</v>
      </c>
      <c r="J311" s="214">
        <v>20</v>
      </c>
      <c r="K311" s="497">
        <f ca="1">IF(I311&gt;0,J311*100/I311,0)</f>
        <v>100</v>
      </c>
      <c r="L311" s="497"/>
      <c r="M311" s="497"/>
      <c r="N311" s="497"/>
      <c r="O311" s="497"/>
      <c r="P311" s="497"/>
    </row>
    <row r="312" spans="1:26" ht="18.75">
      <c r="A312" s="169"/>
      <c r="B312" s="170"/>
      <c r="C312" s="170"/>
      <c r="D312" s="447" t="s">
        <v>143</v>
      </c>
      <c r="E312" s="447"/>
      <c r="F312" s="447"/>
      <c r="G312" s="178"/>
      <c r="H312" s="763" t="s">
        <v>35</v>
      </c>
      <c r="I312" s="269">
        <f ca="1">IFERROR(__xludf.DUMMYFUNCTION("IMPORTRANGE(""https://docs.google.com/spreadsheets/d/1QqKyyYR6Q21VydFLVH3TRQUabQu_ym0Zz7PgGX0-kHA/edit?usp=sharing"",""แผน!EE82"")"),4)</f>
        <v>4</v>
      </c>
      <c r="J312" s="214">
        <v>4</v>
      </c>
      <c r="K312" s="497">
        <f ca="1">IF(I312&gt;0,J312*100/I312,0)</f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0</v>
      </c>
      <c r="J314" s="444">
        <f>J325</f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6"/>
      <c r="B315" s="147"/>
      <c r="C315" s="148" t="s">
        <v>16</v>
      </c>
      <c r="D315" s="846" t="s">
        <v>17</v>
      </c>
      <c r="E315" s="147"/>
      <c r="F315" s="147"/>
      <c r="G315" s="150"/>
      <c r="H315" s="151" t="s">
        <v>12</v>
      </c>
      <c r="I315" s="420"/>
      <c r="J315" s="420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6"/>
      <c r="J316" s="616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6"/>
      <c r="J317" s="616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IFERROR(__xludf.DUMMYFUNCTION("IMPORTRANGE(""https://docs.google.com/spreadsheets/d/1MeEWN-I1oV_STSDYn1IFDPWt_1FKiwhDph83XaGc0o0/edit?usp=sharing"",""งบพรบ!EC82"")"),0)</f>
        <v>0</v>
      </c>
      <c r="M320" s="92">
        <f ca="1">IFERROR(__xludf.DUMMYFUNCTION("IMPORTRANGE(""https://docs.google.com/spreadsheets/d/1MeEWN-I1oV_STSDYn1IFDPWt_1FKiwhDph83XaGc0o0/edit?usp=sharing"",""งบพรบ!EH82"")"),0)</f>
        <v>0</v>
      </c>
      <c r="N320" s="92">
        <f ca="1">IFERROR(__xludf.DUMMYFUNCTION("IMPORTRANGE(""https://docs.google.com/spreadsheets/d/1MeEWN-I1oV_STSDYn1IFDPWt_1FKiwhDph83XaGc0o0/edit?usp=sharing"",""งบพรบ!EJ82"")"),0)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IFERROR(__xludf.DUMMYFUNCTION("IMPORTRANGE(""https://docs.google.com/spreadsheets/d/1MeEWN-I1oV_STSDYn1IFDPWt_1FKiwhDph83XaGc0o0/edit?usp=sharing"",""งบพรบ!EF82"")"),0)</f>
        <v>0</v>
      </c>
      <c r="M323" s="92">
        <f ca="1">IFERROR(__xludf.DUMMYFUNCTION("IMPORTRANGE(""https://docs.google.com/spreadsheets/d/1MeEWN-I1oV_STSDYn1IFDPWt_1FKiwhDph83XaGc0o0/edit?usp=sharing"",""งบพรบ!EI82"")"),0)</f>
        <v>0</v>
      </c>
      <c r="N323" s="92">
        <f ca="1">IFERROR(__xludf.DUMMYFUNCTION("IMPORTRANGE(""https://docs.google.com/spreadsheets/d/1MeEWN-I1oV_STSDYn1IFDPWt_1FKiwhDph83XaGc0o0/edit?usp=sharing"",""งบพรบ!EK82"")"),0)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47" t="s">
        <v>38</v>
      </c>
      <c r="E324" s="172"/>
      <c r="F324" s="172"/>
      <c r="G324" s="173"/>
      <c r="H324" s="761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7"/>
      <c r="G325" s="178"/>
      <c r="H325" s="622" t="s">
        <v>146</v>
      </c>
      <c r="I325" s="269">
        <f ca="1">IFERROR(__xludf.DUMMYFUNCTION("IMPORTRANGE(""https://docs.google.com/spreadsheets/d/1QqKyyYR6Q21VydFLVH3TRQUabQu_ym0Zz7PgGX0-kHA/edit?usp=sharing"",""แผน!EF82"")"),0)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IFERROR(__xludf.DUMMYFUNCTION("IMPORTRANGE(""https://docs.google.com/spreadsheets/d/1QqKyyYR6Q21VydFLVH3TRQUabQu_ym0Zz7PgGX0-kHA/edit?usp=sharing"",""แผน!EG82"")"),1200)</f>
        <v>1200</v>
      </c>
      <c r="J327" s="444">
        <f ca="1">J338+J341+J342+J343</f>
        <v>2857</v>
      </c>
      <c r="K327" s="445">
        <f ca="1">IF(I327&gt;0,J327*100/I327,0)</f>
        <v>238.08333333333334</v>
      </c>
      <c r="L327" s="446"/>
      <c r="M327" s="446"/>
      <c r="N327" s="446"/>
      <c r="O327" s="446"/>
      <c r="P327" s="446"/>
    </row>
    <row r="328" spans="1:26" ht="19.5">
      <c r="A328" s="146"/>
      <c r="B328" s="147"/>
      <c r="C328" s="148" t="s">
        <v>16</v>
      </c>
      <c r="D328" s="846" t="s">
        <v>17</v>
      </c>
      <c r="E328" s="147"/>
      <c r="F328" s="147"/>
      <c r="G328" s="150"/>
      <c r="H328" s="151" t="s">
        <v>12</v>
      </c>
      <c r="I328" s="420"/>
      <c r="J328" s="420"/>
      <c r="K328" s="153"/>
      <c r="L328" s="154">
        <f ca="1">L329+L330</f>
        <v>162000</v>
      </c>
      <c r="M328" s="154">
        <f ca="1">M329+M330</f>
        <v>164500</v>
      </c>
      <c r="N328" s="154">
        <f ca="1">N329+N330</f>
        <v>164500</v>
      </c>
      <c r="O328" s="154">
        <f t="shared" ref="O328:O336" ca="1" si="56">IF(L328&gt;0,N328*100/L328,0)</f>
        <v>101.54320987654322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6"/>
      <c r="J329" s="616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6"/>
      <c r="J330" s="616"/>
      <c r="K330" s="92"/>
      <c r="L330" s="92">
        <f t="shared" ca="1" si="58"/>
        <v>162000</v>
      </c>
      <c r="M330" s="92">
        <f t="shared" ca="1" si="58"/>
        <v>164500</v>
      </c>
      <c r="N330" s="92">
        <f t="shared" ca="1" si="58"/>
        <v>164500</v>
      </c>
      <c r="O330" s="92">
        <f t="shared" ca="1" si="56"/>
        <v>101.54320987654322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162000</v>
      </c>
      <c r="M331" s="497">
        <f ca="1">M332+M333</f>
        <v>164500</v>
      </c>
      <c r="N331" s="497">
        <f ca="1">N332+N333</f>
        <v>164500</v>
      </c>
      <c r="O331" s="497">
        <f t="shared" ca="1" si="56"/>
        <v>101.54320987654322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IFERROR(__xludf.DUMMYFUNCTION("IMPORTRANGE(""https://docs.google.com/spreadsheets/d/1MeEWN-I1oV_STSDYn1IFDPWt_1FKiwhDph83XaGc0o0/edit?usp=sharing"",""งบพรบ!EM82"")"),162000)</f>
        <v>162000</v>
      </c>
      <c r="M333" s="92">
        <f ca="1">IFERROR(__xludf.DUMMYFUNCTION("IMPORTRANGE(""https://docs.google.com/spreadsheets/d/1MeEWN-I1oV_STSDYn1IFDPWt_1FKiwhDph83XaGc0o0/edit?usp=sharing"",""งบพรบ!ER82"")"),164500)</f>
        <v>164500</v>
      </c>
      <c r="N333" s="92">
        <f ca="1">IFERROR(__xludf.DUMMYFUNCTION("IMPORTRANGE(""https://docs.google.com/spreadsheets/d/1MeEWN-I1oV_STSDYn1IFDPWt_1FKiwhDph83XaGc0o0/edit?usp=sharing"",""งบพรบ!ET82"")"),164500)</f>
        <v>164500</v>
      </c>
      <c r="O333" s="92">
        <f t="shared" ca="1" si="56"/>
        <v>101.54320987654322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IFERROR(__xludf.DUMMYFUNCTION("IMPORTRANGE(""https://docs.google.com/spreadsheets/d/1MeEWN-I1oV_STSDYn1IFDPWt_1FKiwhDph83XaGc0o0/edit?usp=sharing"",""งบพรบ!EP82"")"),0)</f>
        <v>0</v>
      </c>
      <c r="M336" s="92">
        <f ca="1">IFERROR(__xludf.DUMMYFUNCTION("IMPORTRANGE(""https://docs.google.com/spreadsheets/d/1MeEWN-I1oV_STSDYn1IFDPWt_1FKiwhDph83XaGc0o0/edit?usp=sharing"",""งบพรบ!ES82"")"),0)</f>
        <v>0</v>
      </c>
      <c r="N336" s="92">
        <f ca="1">IFERROR(__xludf.DUMMYFUNCTION("IMPORTRANGE(""https://docs.google.com/spreadsheets/d/1MeEWN-I1oV_STSDYn1IFDPWt_1FKiwhDph83XaGc0o0/edit?usp=sharing"",""งบพรบ!EU82"")"),0)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4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61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3"/>
      <c r="B338" s="32"/>
      <c r="C338" s="280"/>
      <c r="D338" s="447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IFERROR(__xludf.DUMMYFUNCTION("IMPORTRANGE(""https://docs.google.com/spreadsheets/d/1QqKyyYR6Q21VydFLVH3TRQUabQu_ym0Zz7PgGX0-kHA/edit?usp=sharing"",""แผน!EG82"")"),1200)</f>
        <v>1200</v>
      </c>
      <c r="J338" s="269">
        <f ca="1">IFERROR(__xludf.DUMMYFUNCTION("IMPORTRANGE(""https://docs.google.com/spreadsheets/d/1kVcqe37tkHyjCSG3S0O1AXqVkqjo8mSIZil3BcpIysc/edit?usp=sharing"",""ศูนย์!D82"")"),2747)</f>
        <v>2747</v>
      </c>
      <c r="K338" s="497">
        <f ca="1">IF(I338&gt;0,J338*100/I338,0)</f>
        <v>228.91666666666666</v>
      </c>
      <c r="L338" s="497"/>
      <c r="M338" s="497"/>
      <c r="N338" s="497"/>
      <c r="O338" s="497"/>
      <c r="P338" s="497"/>
    </row>
    <row r="339" spans="1:26" ht="18.75">
      <c r="A339" s="283"/>
      <c r="B339" s="32"/>
      <c r="C339" s="280"/>
      <c r="D339" s="447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3"/>
      <c r="B340" s="32"/>
      <c r="C340" s="280"/>
      <c r="D340" s="177"/>
      <c r="E340" s="447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IFERROR(__xludf.DUMMYFUNCTION("IMPORTRANGE(""https://docs.google.com/spreadsheets/d/1QqKyyYR6Q21VydFLVH3TRQUabQu_ym0Zz7PgGX0-kHA/edit?usp=sharing"",""แผน!EH82"")"),2)</f>
        <v>2</v>
      </c>
      <c r="J340" s="269">
        <f ca="1">IFERROR(__xludf.DUMMYFUNCTION("IMPORTRANGE(""https://docs.google.com/spreadsheets/d/1kVcqe37tkHyjCSG3S0O1AXqVkqjo8mSIZil3BcpIysc/edit?usp=sharing"",""ศูนย์!E82"")"),2)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3"/>
      <c r="B341" s="32"/>
      <c r="C341" s="280"/>
      <c r="D341" s="177"/>
      <c r="E341" s="447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IFERROR(__xludf.DUMMYFUNCTION("IMPORTRANGE(""https://docs.google.com/spreadsheets/d/1kVcqe37tkHyjCSG3S0O1AXqVkqjo8mSIZil3BcpIysc/edit?usp=sharing"",""ศูนย์!F82"")"),108)</f>
        <v>108</v>
      </c>
      <c r="K341" s="497"/>
      <c r="L341" s="497"/>
      <c r="M341" s="497"/>
      <c r="N341" s="497"/>
      <c r="O341" s="497"/>
      <c r="P341" s="497"/>
    </row>
    <row r="342" spans="1:26" ht="18.75">
      <c r="A342" s="283"/>
      <c r="B342" s="32"/>
      <c r="C342" s="280"/>
      <c r="D342" s="447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IFERROR(__xludf.DUMMYFUNCTION("IMPORTRANGE(""https://docs.google.com/spreadsheets/d/1kVcqe37tkHyjCSG3S0O1AXqVkqjo8mSIZil3BcpIysc/edit?usp=sharing"",""ศูนย์!G82"")"),2)</f>
        <v>2</v>
      </c>
      <c r="K342" s="497"/>
      <c r="L342" s="497"/>
      <c r="M342" s="497"/>
      <c r="N342" s="497"/>
      <c r="O342" s="497"/>
      <c r="P342" s="497"/>
    </row>
    <row r="343" spans="1:26" ht="18.75">
      <c r="A343" s="283"/>
      <c r="B343" s="32"/>
      <c r="C343" s="280"/>
      <c r="D343" s="447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IFERROR(__xludf.DUMMYFUNCTION("IMPORTRANGE(""https://docs.google.com/spreadsheets/d/1kVcqe37tkHyjCSG3S0O1AXqVkqjo8mSIZil3BcpIysc/edit?usp=sharing"",""ศูนย์!H82"")"),0)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6"/>
      <c r="B345" s="147"/>
      <c r="C345" s="148" t="s">
        <v>16</v>
      </c>
      <c r="D345" s="846" t="s">
        <v>17</v>
      </c>
      <c r="E345" s="147"/>
      <c r="F345" s="147"/>
      <c r="G345" s="150"/>
      <c r="H345" s="151" t="s">
        <v>12</v>
      </c>
      <c r="I345" s="420"/>
      <c r="J345" s="420"/>
      <c r="K345" s="153"/>
      <c r="L345" s="154">
        <f ca="1">L346+L347</f>
        <v>444870</v>
      </c>
      <c r="M345" s="154">
        <f ca="1">M346+M347</f>
        <v>453990</v>
      </c>
      <c r="N345" s="154">
        <f ca="1">N346+N347</f>
        <v>453990</v>
      </c>
      <c r="O345" s="154">
        <f t="shared" ref="O345:O353" ca="1" si="59">IF(L345&gt;0,N345*100/L345,0)</f>
        <v>102.05003708948682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6"/>
      <c r="J346" s="616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6"/>
      <c r="J347" s="616"/>
      <c r="K347" s="92"/>
      <c r="L347" s="92">
        <f t="shared" ca="1" si="61"/>
        <v>444870</v>
      </c>
      <c r="M347" s="92">
        <f t="shared" ca="1" si="61"/>
        <v>453990</v>
      </c>
      <c r="N347" s="92">
        <f t="shared" ca="1" si="61"/>
        <v>453990</v>
      </c>
      <c r="O347" s="92">
        <f t="shared" ca="1" si="59"/>
        <v>102.05003708948682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399870</v>
      </c>
      <c r="M348" s="497">
        <f ca="1">M349+M350</f>
        <v>408990</v>
      </c>
      <c r="N348" s="497">
        <f ca="1">N349+N350</f>
        <v>408990</v>
      </c>
      <c r="O348" s="497">
        <f t="shared" ca="1" si="59"/>
        <v>102.2807412409033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IFERROR(__xludf.DUMMYFUNCTION("IMPORTRANGE(""https://docs.google.com/spreadsheets/d/1MeEWN-I1oV_STSDYn1IFDPWt_1FKiwhDph83XaGc0o0/edit?usp=sharing"",""งบพรบ!EW82"")"),399870)</f>
        <v>399870</v>
      </c>
      <c r="M350" s="92">
        <f ca="1">IFERROR(__xludf.DUMMYFUNCTION("IMPORTRANGE(""https://docs.google.com/spreadsheets/d/1MeEWN-I1oV_STSDYn1IFDPWt_1FKiwhDph83XaGc0o0/edit?usp=sharing"",""งบพรบ!FB82"")"),408990)</f>
        <v>408990</v>
      </c>
      <c r="N350" s="92">
        <f ca="1">IFERROR(__xludf.DUMMYFUNCTION("IMPORTRANGE(""https://docs.google.com/spreadsheets/d/1MeEWN-I1oV_STSDYn1IFDPWt_1FKiwhDph83XaGc0o0/edit?usp=sharing"",""งบพรบ!FD82"")"),408990)</f>
        <v>408990</v>
      </c>
      <c r="O350" s="92">
        <f t="shared" ca="1" si="59"/>
        <v>102.2807412409033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45000</v>
      </c>
      <c r="M351" s="497">
        <f ca="1">M352+M353</f>
        <v>45000</v>
      </c>
      <c r="N351" s="497">
        <f ca="1">N352+N353</f>
        <v>45000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IFERROR(__xludf.DUMMYFUNCTION("IMPORTRANGE(""https://docs.google.com/spreadsheets/d/1MeEWN-I1oV_STSDYn1IFDPWt_1FKiwhDph83XaGc0o0/edit?usp=sharing"",""งบพรบ!EZ82"")"),45000)</f>
        <v>45000</v>
      </c>
      <c r="M353" s="92">
        <f ca="1">IFERROR(__xludf.DUMMYFUNCTION("IMPORTRANGE(""https://docs.google.com/spreadsheets/d/1MeEWN-I1oV_STSDYn1IFDPWt_1FKiwhDph83XaGc0o0/edit?usp=sharing"",""งบพรบ!FC82"")"),45000)</f>
        <v>45000</v>
      </c>
      <c r="N353" s="92">
        <f ca="1">IFERROR(__xludf.DUMMYFUNCTION("IMPORTRANGE(""https://docs.google.com/spreadsheets/d/1MeEWN-I1oV_STSDYn1IFDPWt_1FKiwhDph83XaGc0o0/edit?usp=sharing"",""งบพรบ!FE82"")"),45000)</f>
        <v>45000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1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IFERROR(__xludf.DUMMYFUNCTION("IMPORTRANGE(""https://docs.google.com/spreadsheets/d/1QqKyyYR6Q21VydFLVH3TRQUabQu_ym0Zz7PgGX0-kHA/edit?usp=sharing"",""แผน!EP82"")"),127)</f>
        <v>127</v>
      </c>
      <c r="J355" s="464">
        <f ca="1">J362</f>
        <v>100</v>
      </c>
      <c r="K355" s="465">
        <f ca="1">IF(I355&gt;0,J355*100/I355,0)</f>
        <v>78.740157480314963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47" t="s">
        <v>38</v>
      </c>
      <c r="E357" s="172"/>
      <c r="F357" s="172"/>
      <c r="G357" s="173"/>
      <c r="H357" s="761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IFERROR(__xludf.DUMMYFUNCTION("IMPORTRANGE(""https://docs.google.com/spreadsheets/d/1XWAQStnk-4SwqDmLtmXYiTMKHgktTP8We1SCoS47DrQ/edit?usp=sharing"",""จัดที่ดิน!W82"")"),69)</f>
        <v>69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IFERROR(__xludf.DUMMYFUNCTION("IMPORTRANGE(""https://docs.google.com/spreadsheets/d/1QqKyyYR6Q21VydFLVH3TRQUabQu_ym0Zz7PgGX0-kHA/edit?usp=sharing"",""แผน!EO82"")"),970)</f>
        <v>970</v>
      </c>
      <c r="J359" s="269">
        <f ca="1">IFERROR(__xludf.DUMMYFUNCTION("IMPORTRANGE(""https://docs.google.com/spreadsheets/d/1XWAQStnk-4SwqDmLtmXYiTMKHgktTP8We1SCoS47DrQ/edit?usp=sharing"",""จัดที่ดิน!X82"")"),318.729999999999)</f>
        <v>318.729999999999</v>
      </c>
      <c r="K359" s="497">
        <f t="shared" ca="1" si="62"/>
        <v>32.85876288659783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63" t="s">
        <v>35</v>
      </c>
      <c r="I360" s="269">
        <f ca="1">IFERROR(__xludf.DUMMYFUNCTION("IMPORTRANGE(""https://docs.google.com/spreadsheets/d/1QqKyyYR6Q21VydFLVH3TRQUabQu_ym0Zz7PgGX0-kHA/edit?usp=sharing"",""แผน!EP82"")"),127)</f>
        <v>127</v>
      </c>
      <c r="J360" s="269">
        <f ca="1">IFERROR(__xludf.DUMMYFUNCTION("IMPORTRANGE(""https://docs.google.com/spreadsheets/d/1XWAQStnk-4SwqDmLtmXYiTMKHgktTP8We1SCoS47DrQ/edit?usp=sharing"",""จัดที่ดิน!Y82"")"),88)</f>
        <v>88</v>
      </c>
      <c r="K360" s="497">
        <f t="shared" ca="1" si="62"/>
        <v>69.29133858267717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63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IFERROR(__xludf.DUMMYFUNCTION("IMPORTRANGE(""https://docs.google.com/spreadsheets/d/1XWAQStnk-4SwqDmLtmXYiTMKHgktTP8We1SCoS47DrQ/edit?usp=sharing"",""จัดที่ดิน!Z82"")"),336.69)</f>
        <v>336.69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63" t="s">
        <v>35</v>
      </c>
      <c r="I362" s="269">
        <f ca="1">IFERROR(__xludf.DUMMYFUNCTION("IMPORTRANGE(""https://docs.google.com/spreadsheets/d/1QqKyyYR6Q21VydFLVH3TRQUabQu_ym0Zz7PgGX0-kHA/edit?usp=sharing"",""แผน!EP82"")"),127)</f>
        <v>127</v>
      </c>
      <c r="J362" s="269">
        <f ca="1">IFERROR(__xludf.DUMMYFUNCTION("IMPORTRANGE(""https://docs.google.com/spreadsheets/d/1XWAQStnk-4SwqDmLtmXYiTMKHgktTP8We1SCoS47DrQ/edit?usp=sharing"",""จัดที่ดิน!AA82"")"),100)</f>
        <v>100</v>
      </c>
      <c r="K362" s="497">
        <f t="shared" ca="1" si="62"/>
        <v>78.740157480314963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7"/>
      <c r="F363" s="177"/>
      <c r="G363" s="178"/>
      <c r="H363" s="763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IFERROR(__xludf.DUMMYFUNCTION("IMPORTRANGE(""https://docs.google.com/spreadsheets/d/1XWAQStnk-4SwqDmLtmXYiTMKHgktTP8We1SCoS47DrQ/edit?usp=sharing"",""จัดที่ดิน!AB82"")"),403.469999999999)</f>
        <v>403.469999999999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267</v>
      </c>
      <c r="J364" s="478">
        <f ca="1">J365+J374</f>
        <v>284</v>
      </c>
      <c r="K364" s="479">
        <f t="shared" ca="1" si="62"/>
        <v>106.36704119850187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IFERROR(__xludf.DUMMYFUNCTION("IMPORTRANGE(""https://docs.google.com/spreadsheets/d/1QqKyyYR6Q21VydFLVH3TRQUabQu_ym0Zz7PgGX0-kHA/edit?usp=sharing"",""แผน!EJ82"")"),67)</f>
        <v>67</v>
      </c>
      <c r="J365" s="490">
        <f ca="1">J372</f>
        <v>40</v>
      </c>
      <c r="K365" s="491">
        <f t="shared" ca="1" si="62"/>
        <v>59.701492537313435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47" t="s">
        <v>38</v>
      </c>
      <c r="E367" s="172"/>
      <c r="F367" s="172"/>
      <c r="G367" s="173"/>
      <c r="H367" s="761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IFERROR(__xludf.DUMMYFUNCTION("IMPORTRANGE(""https://docs.google.com/spreadsheets/d/1XWAQStnk-4SwqDmLtmXYiTMKHgktTP8We1SCoS47DrQ/edit?usp=sharing"",""จัดที่ดิน!E82"")"),9)</f>
        <v>9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IFERROR(__xludf.DUMMYFUNCTION("IMPORTRANGE(""https://docs.google.com/spreadsheets/d/1QqKyyYR6Q21VydFLVH3TRQUabQu_ym0Zz7PgGX0-kHA/edit?usp=sharing"",""แผน!EI82"")"),670)</f>
        <v>670</v>
      </c>
      <c r="J369" s="269">
        <f ca="1">IFERROR(__xludf.DUMMYFUNCTION("IMPORTRANGE(""https://docs.google.com/spreadsheets/d/1XWAQStnk-4SwqDmLtmXYiTMKHgktTP8We1SCoS47DrQ/edit?usp=sharing"",""จัดที่ดิน!F82"")"),50.58)</f>
        <v>50.58</v>
      </c>
      <c r="K369" s="497">
        <f t="shared" ca="1" si="63"/>
        <v>7.5492537313432839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63" t="s">
        <v>35</v>
      </c>
      <c r="I370" s="269">
        <f ca="1">IFERROR(__xludf.DUMMYFUNCTION("IMPORTRANGE(""https://docs.google.com/spreadsheets/d/1QqKyyYR6Q21VydFLVH3TRQUabQu_ym0Zz7PgGX0-kHA/edit?usp=sharing"",""แผน!EJ82"")"),67)</f>
        <v>67</v>
      </c>
      <c r="J370" s="269">
        <f ca="1">IFERROR(__xludf.DUMMYFUNCTION("IMPORTRANGE(""https://docs.google.com/spreadsheets/d/1XWAQStnk-4SwqDmLtmXYiTMKHgktTP8We1SCoS47DrQ/edit?usp=sharing"",""จัดที่ดิน!G82"")"),39)</f>
        <v>39</v>
      </c>
      <c r="K370" s="497">
        <f t="shared" ca="1" si="63"/>
        <v>58.208955223880594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63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IFERROR(__xludf.DUMMYFUNCTION("IMPORTRANGE(""https://docs.google.com/spreadsheets/d/1XWAQStnk-4SwqDmLtmXYiTMKHgktTP8We1SCoS47DrQ/edit?usp=sharing"",""จัดที่ดิน!H82"")"),134.67)</f>
        <v>134.66999999999999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63" t="s">
        <v>35</v>
      </c>
      <c r="I372" s="269">
        <f ca="1">IFERROR(__xludf.DUMMYFUNCTION("IMPORTRANGE(""https://docs.google.com/spreadsheets/d/1QqKyyYR6Q21VydFLVH3TRQUabQu_ym0Zz7PgGX0-kHA/edit?usp=sharing"",""แผน!EJ82"")"),67)</f>
        <v>67</v>
      </c>
      <c r="J372" s="269">
        <f ca="1">IFERROR(__xludf.DUMMYFUNCTION("IMPORTRANGE(""https://docs.google.com/spreadsheets/d/1XWAQStnk-4SwqDmLtmXYiTMKHgktTP8We1SCoS47DrQ/edit?usp=sharing"",""จัดที่ดิน!I82"")"),40)</f>
        <v>40</v>
      </c>
      <c r="K372" s="497">
        <f t="shared" ca="1" si="63"/>
        <v>59.701492537313435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7"/>
      <c r="C373" s="170"/>
      <c r="D373" s="177"/>
      <c r="E373" s="447"/>
      <c r="F373" s="177"/>
      <c r="G373" s="178"/>
      <c r="H373" s="763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IFERROR(__xludf.DUMMYFUNCTION("IMPORTRANGE(""https://docs.google.com/spreadsheets/d/1XWAQStnk-4SwqDmLtmXYiTMKHgktTP8We1SCoS47DrQ/edit?usp=sharing"",""จัดที่ดิน!J82"")"),135.32)</f>
        <v>135.32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IFERROR(__xludf.DUMMYFUNCTION("IMPORTRANGE(""https://docs.google.com/spreadsheets/d/1QqKyyYR6Q21VydFLVH3TRQUabQu_ym0Zz7PgGX0-kHA/edit?usp=sharing"",""แผน!EU82"")"),200)</f>
        <v>200</v>
      </c>
      <c r="J374" s="490">
        <f ca="1">J381</f>
        <v>244</v>
      </c>
      <c r="K374" s="491">
        <f t="shared" ca="1" si="63"/>
        <v>122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47" t="s">
        <v>38</v>
      </c>
      <c r="E376" s="172"/>
      <c r="F376" s="172"/>
      <c r="G376" s="173"/>
      <c r="H376" s="761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IFERROR(__xludf.DUMMYFUNCTION("IMPORTRANGE(""https://docs.google.com/spreadsheets/d/1XWAQStnk-4SwqDmLtmXYiTMKHgktTP8We1SCoS47DrQ/edit?usp=sharing"",""จัดที่ดิน!AH82"")"),60)</f>
        <v>60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IFERROR(__xludf.DUMMYFUNCTION("IMPORTRANGE(""https://docs.google.com/spreadsheets/d/1QqKyyYR6Q21VydFLVH3TRQUabQu_ym0Zz7PgGX0-kHA/edit?usp=sharing"",""แผน!ET82"")"),300)</f>
        <v>300</v>
      </c>
      <c r="J378" s="269">
        <f ca="1">IFERROR(__xludf.DUMMYFUNCTION("IMPORTRANGE(""https://docs.google.com/spreadsheets/d/1XWAQStnk-4SwqDmLtmXYiTMKHgktTP8We1SCoS47DrQ/edit?usp=sharing"",""จัดที่ดิน!AI82"")"),268.15)</f>
        <v>268.14999999999998</v>
      </c>
      <c r="K378" s="497">
        <f t="shared" ca="1" si="64"/>
        <v>89.383333333333326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63" t="s">
        <v>35</v>
      </c>
      <c r="I379" s="269">
        <f ca="1">IFERROR(__xludf.DUMMYFUNCTION("IMPORTRANGE(""https://docs.google.com/spreadsheets/d/1QqKyyYR6Q21VydFLVH3TRQUabQu_ym0Zz7PgGX0-kHA/edit?usp=sharing"",""แผน!EU82"")"),200)</f>
        <v>200</v>
      </c>
      <c r="J379" s="269">
        <f ca="1">IFERROR(__xludf.DUMMYFUNCTION("IMPORTRANGE(""https://docs.google.com/spreadsheets/d/1XWAQStnk-4SwqDmLtmXYiTMKHgktTP8We1SCoS47DrQ/edit?usp=sharing"",""จัดที่ดิน!AJ82"")"),232)</f>
        <v>232</v>
      </c>
      <c r="K379" s="497">
        <f t="shared" ca="1" si="64"/>
        <v>116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63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IFERROR(__xludf.DUMMYFUNCTION("IMPORTRANGE(""https://docs.google.com/spreadsheets/d/1XWAQStnk-4SwqDmLtmXYiTMKHgktTP8We1SCoS47DrQ/edit?usp=sharing"",""จัดที่ดิน!AK82"")"),1420.65)</f>
        <v>1420.65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63" t="s">
        <v>35</v>
      </c>
      <c r="I381" s="269">
        <f ca="1">IFERROR(__xludf.DUMMYFUNCTION("IMPORTRANGE(""https://docs.google.com/spreadsheets/d/1QqKyyYR6Q21VydFLVH3TRQUabQu_ym0Zz7PgGX0-kHA/edit?usp=sharing"",""แผน!EU82"")"),200)</f>
        <v>200</v>
      </c>
      <c r="J381" s="269">
        <f ca="1">IFERROR(__xludf.DUMMYFUNCTION("IMPORTRANGE(""https://docs.google.com/spreadsheets/d/1XWAQStnk-4SwqDmLtmXYiTMKHgktTP8We1SCoS47DrQ/edit?usp=sharing"",""จัดที่ดิน!AL82"")"),244)</f>
        <v>244</v>
      </c>
      <c r="K381" s="497">
        <f t="shared" ca="1" si="64"/>
        <v>122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7"/>
      <c r="C382" s="170"/>
      <c r="D382" s="177"/>
      <c r="E382" s="447"/>
      <c r="F382" s="177"/>
      <c r="G382" s="178"/>
      <c r="H382" s="763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IFERROR(__xludf.DUMMYFUNCTION("IMPORTRANGE(""https://docs.google.com/spreadsheets/d/1XWAQStnk-4SwqDmLtmXYiTMKHgktTP8We1SCoS47DrQ/edit?usp=sharing"",""จัดที่ดิน!AM82"")"),1489.15)</f>
        <v>1489.15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498"/>
      <c r="B383" s="499"/>
      <c r="C383" s="290"/>
      <c r="D383" s="849" t="s">
        <v>169</v>
      </c>
      <c r="E383" s="290"/>
      <c r="F383" s="290"/>
      <c r="G383" s="501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4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761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503" t="s">
        <v>170</v>
      </c>
      <c r="F385" s="380"/>
      <c r="G385" s="381"/>
      <c r="H385" s="504" t="s">
        <v>35</v>
      </c>
      <c r="I385" s="505">
        <f ca="1">IFERROR(__xludf.DUMMYFUNCTION("IMPORTRANGE(""https://docs.google.com/spreadsheets/d/1QqKyyYR6Q21VydFLVH3TRQUabQu_ym0Zz7PgGX0-kHA/edit?usp=sharing"",""แผน!EW82"")"),10)</f>
        <v>10</v>
      </c>
      <c r="J385" s="505">
        <f ca="1">IFERROR(__xludf.DUMMYFUNCTION("IMPORTRANGE(""https://docs.google.com/spreadsheets/d/1XWAQStnk-4SwqDmLtmXYiTMKHgktTP8We1SCoS47DrQ/edit?usp=sharing"",""จัดที่ดิน!AP82"")"),10)</f>
        <v>10</v>
      </c>
      <c r="K385" s="506">
        <f ca="1">IF(I385&gt;0,J385*100/I385,0)</f>
        <v>100</v>
      </c>
      <c r="L385" s="384"/>
      <c r="M385" s="384"/>
      <c r="N385" s="384"/>
      <c r="O385" s="384"/>
      <c r="P385" s="384"/>
    </row>
    <row r="386" spans="1:26" ht="19.5" hidden="1">
      <c r="A386" s="507" t="s">
        <v>171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172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173</v>
      </c>
      <c r="C388" s="522"/>
      <c r="D388" s="523"/>
      <c r="E388" s="523"/>
      <c r="F388" s="523"/>
      <c r="G388" s="524"/>
      <c r="H388" s="525" t="s">
        <v>66</v>
      </c>
      <c r="I388" s="526">
        <f>I400</f>
        <v>0</v>
      </c>
      <c r="J388" s="526">
        <f>J400</f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6"/>
      <c r="B389" s="147"/>
      <c r="C389" s="148" t="s">
        <v>16</v>
      </c>
      <c r="D389" s="846" t="s">
        <v>17</v>
      </c>
      <c r="E389" s="147"/>
      <c r="F389" s="147"/>
      <c r="G389" s="150"/>
      <c r="H389" s="151" t="s">
        <v>12</v>
      </c>
      <c r="I389" s="420"/>
      <c r="J389" s="420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6"/>
      <c r="J390" s="616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6"/>
      <c r="J391" s="616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IFERROR(__xludf.DUMMYFUNCTION("IMPORTRANGE(""https://docs.google.com/spreadsheets/d/1MeEWN-I1oV_STSDYn1IFDPWt_1FKiwhDph83XaGc0o0/edit?usp=sharing"",""งบพรบ!FG82"")"),0)</f>
        <v>0</v>
      </c>
      <c r="M394" s="92">
        <f ca="1">IFERROR(__xludf.DUMMYFUNCTION("IMPORTRANGE(""https://docs.google.com/spreadsheets/d/1MeEWN-I1oV_STSDYn1IFDPWt_1FKiwhDph83XaGc0o0/edit?usp=sharing"",""งบพรบ!FL82"")"),0)</f>
        <v>0</v>
      </c>
      <c r="N394" s="92">
        <f ca="1">IFERROR(__xludf.DUMMYFUNCTION("IMPORTRANGE(""https://docs.google.com/spreadsheets/d/1MeEWN-I1oV_STSDYn1IFDPWt_1FKiwhDph83XaGc0o0/edit?usp=sharing"",""งบพรบ!FN82"")"),0)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IFERROR(__xludf.DUMMYFUNCTION("IMPORTRANGE(""https://docs.google.com/spreadsheets/d/1MeEWN-I1oV_STSDYn1IFDPWt_1FKiwhDph83XaGc0o0/edit?usp=sharing"",""งบพรบ!FJ82"")"),0)</f>
        <v>0</v>
      </c>
      <c r="M397" s="92">
        <f ca="1">IFERROR(__xludf.DUMMYFUNCTION("IMPORTRANGE(""https://docs.google.com/spreadsheets/d/1MeEWN-I1oV_STSDYn1IFDPWt_1FKiwhDph83XaGc0o0/edit?usp=sharing"",""งบพรบ!FM82"")"),0)</f>
        <v>0</v>
      </c>
      <c r="N397" s="92">
        <f ca="1">IFERROR(__xludf.DUMMYFUNCTION("IMPORTRANGE(""https://docs.google.com/spreadsheets/d/1MeEWN-I1oV_STSDYn1IFDPWt_1FKiwhDph83XaGc0o0/edit?usp=sharing"",""งบพรบ!FO82"")"),0)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47" t="s">
        <v>38</v>
      </c>
      <c r="E398" s="172"/>
      <c r="F398" s="172"/>
      <c r="G398" s="173"/>
      <c r="H398" s="761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9"/>
      <c r="B399" s="147"/>
      <c r="C399" s="530"/>
      <c r="D399" s="531" t="s">
        <v>174</v>
      </c>
      <c r="E399" s="415"/>
      <c r="F399" s="147"/>
      <c r="G399" s="150"/>
      <c r="H399" s="532" t="s">
        <v>9</v>
      </c>
      <c r="I399" s="269">
        <v>0</v>
      </c>
      <c r="J399" s="214">
        <v>0</v>
      </c>
      <c r="K399" s="497">
        <f>IF(I399&gt;0,J399*100/I399,0)</f>
        <v>0</v>
      </c>
      <c r="L399" s="533"/>
      <c r="M399" s="533"/>
      <c r="N399" s="533"/>
      <c r="O399" s="533"/>
      <c r="P399" s="533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3"/>
      <c r="B400" s="32"/>
      <c r="C400" s="280"/>
      <c r="D400" s="447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20"/>
      <c r="B401" s="521" t="s">
        <v>176</v>
      </c>
      <c r="C401" s="522"/>
      <c r="D401" s="523"/>
      <c r="E401" s="523"/>
      <c r="F401" s="523"/>
      <c r="G401" s="524"/>
      <c r="H401" s="525" t="s">
        <v>66</v>
      </c>
      <c r="I401" s="526">
        <f>I412</f>
        <v>0</v>
      </c>
      <c r="J401" s="526">
        <f>J412</f>
        <v>0</v>
      </c>
      <c r="K401" s="527">
        <f>IF(I401&gt;0,J401*100/I401,0)</f>
        <v>0</v>
      </c>
      <c r="L401" s="528"/>
      <c r="M401" s="528"/>
      <c r="N401" s="528"/>
      <c r="O401" s="528"/>
      <c r="P401" s="528"/>
    </row>
    <row r="402" spans="1:26" ht="19.5" hidden="1">
      <c r="A402" s="146"/>
      <c r="B402" s="147"/>
      <c r="C402" s="148" t="s">
        <v>16</v>
      </c>
      <c r="D402" s="846" t="s">
        <v>17</v>
      </c>
      <c r="E402" s="147"/>
      <c r="F402" s="147"/>
      <c r="G402" s="150"/>
      <c r="H402" s="151" t="s">
        <v>12</v>
      </c>
      <c r="I402" s="420"/>
      <c r="J402" s="420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6"/>
      <c r="J403" s="616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6"/>
      <c r="J404" s="616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IFERROR(__xludf.DUMMYFUNCTION("IMPORTRANGE(""https://docs.google.com/spreadsheets/d/1MeEWN-I1oV_STSDYn1IFDPWt_1FKiwhDph83XaGc0o0/edit?usp=sharing"",""งบพรบ!FQ82"")"),0)</f>
        <v>0</v>
      </c>
      <c r="M407" s="92">
        <f ca="1">IFERROR(__xludf.DUMMYFUNCTION("IMPORTRANGE(""https://docs.google.com/spreadsheets/d/1MeEWN-I1oV_STSDYn1IFDPWt_1FKiwhDph83XaGc0o0/edit?usp=sharing"",""งบพรบ!FV82"")"),0)</f>
        <v>0</v>
      </c>
      <c r="N407" s="92">
        <f ca="1">IFERROR(__xludf.DUMMYFUNCTION("IMPORTRANGE(""https://docs.google.com/spreadsheets/d/1MeEWN-I1oV_STSDYn1IFDPWt_1FKiwhDph83XaGc0o0/edit?usp=sharing"",""งบพรบ!FX82"")"),0)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IFERROR(__xludf.DUMMYFUNCTION("IMPORTRANGE(""https://docs.google.com/spreadsheets/d/1MeEWN-I1oV_STSDYn1IFDPWt_1FKiwhDph83XaGc0o0/edit?usp=sharing"",""งบพรบ!FT82"")"),0)</f>
        <v>0</v>
      </c>
      <c r="M410" s="92">
        <f ca="1">IFERROR(__xludf.DUMMYFUNCTION("IMPORTRANGE(""https://docs.google.com/spreadsheets/d/1MeEWN-I1oV_STSDYn1IFDPWt_1FKiwhDph83XaGc0o0/edit?usp=sharing"",""งบพรบ!FW82"")"),0)</f>
        <v>0</v>
      </c>
      <c r="N410" s="92">
        <f ca="1">IFERROR(__xludf.DUMMYFUNCTION("IMPORTRANGE(""https://docs.google.com/spreadsheets/d/1MeEWN-I1oV_STSDYn1IFDPWt_1FKiwhDph83XaGc0o0/edit?usp=sharing"",""งบพรบ!FY82"")"),0)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45" t="s">
        <v>38</v>
      </c>
      <c r="E411" s="535"/>
      <c r="F411" s="535"/>
      <c r="G411" s="536"/>
      <c r="H411" s="761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7" t="s">
        <v>177</v>
      </c>
      <c r="E412" s="177"/>
      <c r="F412" s="177"/>
      <c r="G412" s="178"/>
      <c r="H412" s="537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8"/>
      <c r="B413" s="539"/>
      <c r="C413" s="539"/>
      <c r="D413" s="540" t="s">
        <v>178</v>
      </c>
      <c r="E413" s="539"/>
      <c r="F413" s="539"/>
      <c r="G413" s="541"/>
      <c r="H413" s="542" t="s">
        <v>179</v>
      </c>
      <c r="I413" s="543">
        <v>0</v>
      </c>
      <c r="J413" s="544">
        <v>0</v>
      </c>
      <c r="K413" s="545">
        <f>IF(I413&gt;0,J413*100/I413,0)</f>
        <v>0</v>
      </c>
      <c r="L413" s="546"/>
      <c r="M413" s="546"/>
      <c r="N413" s="546"/>
      <c r="O413" s="546"/>
      <c r="P413" s="546"/>
    </row>
    <row r="414" spans="1:26" ht="19.5">
      <c r="A414" s="547" t="s">
        <v>180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ca="1">L419+L444+L467+L502+L523+L544+L629+L655+L685+L737+L754+L770+L786+L805</f>
        <v>1234358</v>
      </c>
      <c r="M414" s="553">
        <f ca="1">M419+M444+M467+M502+M523+M544+M629+M655+M685+M737+M754+M770+M786+M805</f>
        <v>1162833.3399999999</v>
      </c>
      <c r="N414" s="553">
        <f>N419+N444+N467+N502+N523+N544+N629+N655+N685+N737+N754+N770+N786+N805</f>
        <v>1162833.3399999999</v>
      </c>
      <c r="O414" s="553">
        <f ca="1">IF(L414&gt;0,N414*100/L414,0)</f>
        <v>94.205517362061883</v>
      </c>
      <c r="P414" s="553">
        <f ca="1">IF(M414&gt;0,N414*100/M414,0)</f>
        <v>100</v>
      </c>
    </row>
    <row r="415" spans="1:26" ht="19.5">
      <c r="A415" s="554" t="s">
        <v>181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182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183</v>
      </c>
      <c r="C417" s="565"/>
      <c r="D417" s="566"/>
      <c r="E417" s="566"/>
      <c r="F417" s="566"/>
      <c r="G417" s="567"/>
      <c r="H417" s="568" t="s">
        <v>35</v>
      </c>
      <c r="I417" s="569">
        <f ca="1">I433</f>
        <v>15</v>
      </c>
      <c r="J417" s="569">
        <f ca="1">J433</f>
        <v>15</v>
      </c>
      <c r="K417" s="570">
        <f ca="1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ca="1">I434</f>
        <v>1</v>
      </c>
      <c r="J418" s="569">
        <f>J434</f>
        <v>1</v>
      </c>
      <c r="K418" s="570">
        <f ca="1">IF(I418&gt;0,J418*100/I418,0)</f>
        <v>100</v>
      </c>
      <c r="L418" s="571"/>
      <c r="M418" s="571"/>
      <c r="N418" s="571"/>
      <c r="O418" s="571"/>
      <c r="P418" s="571"/>
    </row>
    <row r="419" spans="1:26" ht="19.5">
      <c r="A419" s="146"/>
      <c r="B419" s="147"/>
      <c r="C419" s="147" t="s">
        <v>16</v>
      </c>
      <c r="D419" s="910" t="s">
        <v>17</v>
      </c>
      <c r="E419" s="890"/>
      <c r="F419" s="890"/>
      <c r="G419" s="150"/>
      <c r="H419" s="274" t="s">
        <v>12</v>
      </c>
      <c r="I419" s="420"/>
      <c r="J419" s="420"/>
      <c r="K419" s="153"/>
      <c r="L419" s="154">
        <f ca="1">L420+L421</f>
        <v>66560</v>
      </c>
      <c r="M419" s="154">
        <f ca="1">M420+M421</f>
        <v>116450</v>
      </c>
      <c r="N419" s="154">
        <f>N420+N421</f>
        <v>116450</v>
      </c>
      <c r="O419" s="154">
        <f t="shared" ref="O419:O424" ca="1" si="71">IF(L419&gt;0,N419*100/L419,0)</f>
        <v>174.95492788461539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6"/>
      <c r="J420" s="616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6"/>
      <c r="J421" s="616"/>
      <c r="K421" s="92"/>
      <c r="L421" s="92">
        <f t="shared" ca="1" si="73"/>
        <v>66560</v>
      </c>
      <c r="M421" s="92">
        <f t="shared" ca="1" si="73"/>
        <v>116450</v>
      </c>
      <c r="N421" s="92">
        <f t="shared" si="73"/>
        <v>116450</v>
      </c>
      <c r="O421" s="92">
        <f t="shared" ca="1" si="71"/>
        <v>174.95492788461539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66560</v>
      </c>
      <c r="M422" s="497">
        <f ca="1">M423+M424</f>
        <v>116450</v>
      </c>
      <c r="N422" s="497">
        <f>N423+N424</f>
        <v>116450</v>
      </c>
      <c r="O422" s="497">
        <f t="shared" ca="1" si="71"/>
        <v>174.95492788461539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6"/>
      <c r="J423" s="616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6"/>
      <c r="J424" s="616"/>
      <c r="K424" s="92"/>
      <c r="L424" s="92">
        <f ca="1">IFERROR(__xludf.DUMMYFUNCTION("IMPORTRANGE(""https://docs.google.com/spreadsheets/d/1QqKyyYR6Q21VydFLVH3TRQUabQu_ym0Zz7PgGX0-kHA/edit?usp=sharing"",""แผน!EY82"")"),66560)</f>
        <v>66560</v>
      </c>
      <c r="M424" s="92">
        <f ca="1">L424+5000+23300+26200-4610</f>
        <v>116450</v>
      </c>
      <c r="N424" s="92">
        <f>N425+N426+N427+N428</f>
        <v>116450</v>
      </c>
      <c r="O424" s="92">
        <f t="shared" ca="1" si="71"/>
        <v>174.95492788461539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73"/>
      <c r="B425" s="574"/>
      <c r="C425" s="762"/>
      <c r="D425" s="762"/>
      <c r="E425" s="762"/>
      <c r="F425" s="762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826">
        <v>55720</v>
      </c>
      <c r="O425" s="497"/>
      <c r="P425" s="497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826">
        <v>0</v>
      </c>
      <c r="O426" s="497"/>
      <c r="P426" s="497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826">
        <v>0</v>
      </c>
      <c r="O427" s="497"/>
      <c r="P427" s="497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3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826">
        <v>60730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IFERROR(__xludf.DUMMYFUNCTION("IMPORTRANGE(""https://docs.google.com/spreadsheets/d/1QqKyyYR6Q21VydFLVH3TRQUabQu_ym0Zz7PgGX0-kHA/edit?usp=sharing"",""แผน!FB82"")"),0)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4"/>
      <c r="B432" s="415"/>
      <c r="C432" s="147" t="s">
        <v>16</v>
      </c>
      <c r="D432" s="844" t="s">
        <v>38</v>
      </c>
      <c r="E432" s="579"/>
      <c r="F432" s="579"/>
      <c r="G432" s="580"/>
      <c r="H432" s="581"/>
      <c r="I432" s="420"/>
      <c r="J432" s="420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80">
        <f ca="1">I438+I440</f>
        <v>1</v>
      </c>
      <c r="J434" s="680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7" t="s">
        <v>192</v>
      </c>
      <c r="E435" s="177"/>
      <c r="F435" s="177"/>
      <c r="G435" s="178"/>
      <c r="H435" s="622" t="s">
        <v>35</v>
      </c>
      <c r="I435" s="582">
        <f ca="1">IFERROR(__xludf.DUMMYFUNCTION("IMPORTRANGE(""https://docs.google.com/spreadsheets/d/1QqKyyYR6Q21VydFLVH3TRQUabQu_ym0Zz7PgGX0-kHA/edit?usp=sharing"",""แผน!FC82"")"),15)</f>
        <v>15</v>
      </c>
      <c r="J435" s="583">
        <v>15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7" t="s">
        <v>193</v>
      </c>
      <c r="E436" s="177"/>
      <c r="F436" s="177"/>
      <c r="G436" s="178"/>
      <c r="H436" s="622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7" t="s">
        <v>194</v>
      </c>
      <c r="E437" s="177"/>
      <c r="F437" s="177"/>
      <c r="G437" s="178"/>
      <c r="H437" s="622" t="s">
        <v>35</v>
      </c>
      <c r="I437" s="582">
        <f ca="1">IFERROR(__xludf.DUMMYFUNCTION("IMPORTRANGE(""https://docs.google.com/spreadsheets/d/1QqKyyYR6Q21VydFLVH3TRQUabQu_ym0Zz7PgGX0-kHA/edit?usp=sharing"",""แผน!FD82"")"),0)</f>
        <v>0</v>
      </c>
      <c r="J437" s="583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7" t="s">
        <v>195</v>
      </c>
      <c r="E438" s="177"/>
      <c r="F438" s="177"/>
      <c r="G438" s="178"/>
      <c r="H438" s="622" t="s">
        <v>49</v>
      </c>
      <c r="I438" s="269">
        <f ca="1">IFERROR(__xludf.DUMMYFUNCTION("IMPORTRANGE(""https://docs.google.com/spreadsheets/d/1QqKyyYR6Q21VydFLVH3TRQUabQu_ym0Zz7PgGX0-kHA/edit?usp=sharing"",""แผน!FE82"")"),0)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7" t="s">
        <v>196</v>
      </c>
      <c r="E439" s="177"/>
      <c r="F439" s="177"/>
      <c r="G439" s="178"/>
      <c r="H439" s="622" t="s">
        <v>35</v>
      </c>
      <c r="I439" s="582">
        <f ca="1">IFERROR(__xludf.DUMMYFUNCTION("IMPORTRANGE(""https://docs.google.com/spreadsheets/d/1QqKyyYR6Q21VydFLVH3TRQUabQu_ym0Zz7PgGX0-kHA/edit?usp=sharing"",""แผน!FF82"")"),15)</f>
        <v>15</v>
      </c>
      <c r="J439" s="214">
        <v>15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7" t="s">
        <v>197</v>
      </c>
      <c r="E440" s="177"/>
      <c r="F440" s="177"/>
      <c r="G440" s="178"/>
      <c r="H440" s="622" t="s">
        <v>49</v>
      </c>
      <c r="I440" s="269">
        <f ca="1">IFERROR(__xludf.DUMMYFUNCTION("IMPORTRANGE(""https://docs.google.com/spreadsheets/d/1QqKyyYR6Q21VydFLVH3TRQUabQu_ym0Zz7PgGX0-kHA/edit?usp=sharing"",""แผน!FG82"")"),1)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7" t="s">
        <v>198</v>
      </c>
      <c r="E441" s="177"/>
      <c r="F441" s="177"/>
      <c r="G441" s="178"/>
      <c r="H441" s="622" t="s">
        <v>35</v>
      </c>
      <c r="I441" s="269">
        <f ca="1">IFERROR(__xludf.DUMMYFUNCTION("IMPORTRANGE(""https://docs.google.com/spreadsheets/d/1QqKyyYR6Q21VydFLVH3TRQUabQu_ym0Zz7PgGX0-kHA/edit?usp=sharing"",""แผน!FH82"")"),0)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84">
        <v>2</v>
      </c>
      <c r="B442" s="585" t="s">
        <v>199</v>
      </c>
      <c r="C442" s="586"/>
      <c r="D442" s="586"/>
      <c r="E442" s="586"/>
      <c r="F442" s="586"/>
      <c r="G442" s="587"/>
      <c r="H442" s="588" t="s">
        <v>35</v>
      </c>
      <c r="I442" s="589">
        <f ca="1">I460</f>
        <v>40</v>
      </c>
      <c r="J442" s="589">
        <f>J460</f>
        <v>40</v>
      </c>
      <c r="K442" s="590">
        <f t="shared" ca="1" si="7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ca="1">I462</f>
        <v>120</v>
      </c>
      <c r="J443" s="569">
        <f>J462</f>
        <v>120</v>
      </c>
      <c r="K443" s="570">
        <f t="shared" ca="1" si="7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87" t="s">
        <v>17</v>
      </c>
      <c r="E444" s="888"/>
      <c r="F444" s="888"/>
      <c r="G444" s="188"/>
      <c r="H444" s="597" t="s">
        <v>12</v>
      </c>
      <c r="I444" s="269"/>
      <c r="J444" s="269"/>
      <c r="K444" s="497"/>
      <c r="L444" s="194">
        <f ca="1">L445+L446</f>
        <v>367400</v>
      </c>
      <c r="M444" s="194">
        <f ca="1">M445+M446</f>
        <v>388880.67</v>
      </c>
      <c r="N444" s="194">
        <f>N445+N446</f>
        <v>388880.67000000004</v>
      </c>
      <c r="O444" s="194">
        <f t="shared" ref="O444:O449" ca="1" si="75">IF(L444&gt;0,N444*100/L444,0)</f>
        <v>105.84667120304847</v>
      </c>
      <c r="P444" s="194">
        <f t="shared" ref="P444:P449" ca="1" si="76">IF(M444&gt;0,N444*100/M444,0)</f>
        <v>100.00000000000003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184</v>
      </c>
      <c r="F445" s="758"/>
      <c r="G445" s="602"/>
      <c r="H445" s="164" t="s">
        <v>12</v>
      </c>
      <c r="I445" s="616"/>
      <c r="J445" s="616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185</v>
      </c>
      <c r="F446" s="758"/>
      <c r="G446" s="602"/>
      <c r="H446" s="164" t="s">
        <v>12</v>
      </c>
      <c r="I446" s="616"/>
      <c r="J446" s="616"/>
      <c r="K446" s="92"/>
      <c r="L446" s="92">
        <f t="shared" ca="1" si="77"/>
        <v>367400</v>
      </c>
      <c r="M446" s="92">
        <f t="shared" ca="1" si="77"/>
        <v>388880.67</v>
      </c>
      <c r="N446" s="92">
        <f t="shared" si="77"/>
        <v>388880.67000000004</v>
      </c>
      <c r="O446" s="92">
        <f t="shared" ca="1" si="75"/>
        <v>105.84667120304847</v>
      </c>
      <c r="P446" s="92">
        <f t="shared" ca="1" si="76"/>
        <v>100.00000000000003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8"/>
      <c r="H447" s="160" t="s">
        <v>12</v>
      </c>
      <c r="I447" s="183"/>
      <c r="J447" s="183"/>
      <c r="K447" s="162"/>
      <c r="L447" s="497">
        <f ca="1">L448+L449</f>
        <v>367400</v>
      </c>
      <c r="M447" s="497">
        <f ca="1">M448+M449</f>
        <v>388880.67</v>
      </c>
      <c r="N447" s="497">
        <f>N448+N449</f>
        <v>388880.67000000004</v>
      </c>
      <c r="O447" s="497">
        <f t="shared" ca="1" si="75"/>
        <v>105.84667120304847</v>
      </c>
      <c r="P447" s="497">
        <f t="shared" ca="1" si="76"/>
        <v>100.00000000000003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184</v>
      </c>
      <c r="F448" s="758"/>
      <c r="G448" s="602"/>
      <c r="H448" s="164" t="s">
        <v>12</v>
      </c>
      <c r="I448" s="616"/>
      <c r="J448" s="616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185</v>
      </c>
      <c r="F449" s="758"/>
      <c r="G449" s="602"/>
      <c r="H449" s="164" t="s">
        <v>12</v>
      </c>
      <c r="I449" s="616"/>
      <c r="J449" s="616"/>
      <c r="K449" s="92"/>
      <c r="L449" s="92">
        <f ca="1">IFERROR(__xludf.DUMMYFUNCTION("IMPORTRANGE(""https://docs.google.com/spreadsheets/d/1QqKyyYR6Q21VydFLVH3TRQUabQu_ym0Zz7PgGX0-kHA/edit?usp=sharing"",""แผน!FJ82"")"),367400)</f>
        <v>367400</v>
      </c>
      <c r="M449" s="92">
        <f ca="1">L449+24850-3369.33</f>
        <v>388880.67</v>
      </c>
      <c r="N449" s="92">
        <f>N450+N451+N452+N453</f>
        <v>388880.67000000004</v>
      </c>
      <c r="O449" s="92">
        <f t="shared" ca="1" si="75"/>
        <v>105.84667120304847</v>
      </c>
      <c r="P449" s="92">
        <f t="shared" ca="1" si="76"/>
        <v>100.00000000000003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826">
        <v>73400</v>
      </c>
      <c r="O450" s="497"/>
      <c r="P450" s="497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826">
        <v>122985</v>
      </c>
      <c r="O451" s="497"/>
      <c r="P451" s="497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826">
        <v>139630.67000000001</v>
      </c>
      <c r="O452" s="497"/>
      <c r="P452" s="497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826">
        <v>52865</v>
      </c>
      <c r="O453" s="497"/>
      <c r="P453" s="497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IFERROR(__xludf.DUMMYFUNCTION("IMPORTRANGE(""https://docs.google.com/spreadsheets/d/1QqKyyYR6Q21VydFLVH3TRQUabQu_ym0Zz7PgGX0-kHA/edit?usp=sharing"",""แผน!FM82"")"),0)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40" t="s">
        <v>38</v>
      </c>
      <c r="E457" s="610"/>
      <c r="F457" s="760"/>
      <c r="G457" s="612"/>
      <c r="H457" s="761"/>
      <c r="I457" s="269"/>
      <c r="J457" s="269"/>
      <c r="K457" s="497"/>
      <c r="L457" s="497"/>
      <c r="M457" s="497"/>
      <c r="N457" s="497"/>
      <c r="O457" s="497"/>
      <c r="P457" s="497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200</v>
      </c>
      <c r="E458" s="615"/>
      <c r="F458" s="719"/>
      <c r="G458" s="365"/>
      <c r="H458" s="369" t="s">
        <v>35</v>
      </c>
      <c r="I458" s="616">
        <v>0</v>
      </c>
      <c r="J458" s="616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201</v>
      </c>
      <c r="E459" s="615"/>
      <c r="F459" s="719"/>
      <c r="G459" s="365"/>
      <c r="H459" s="369"/>
      <c r="I459" s="616"/>
      <c r="J459" s="616"/>
      <c r="K459" s="92"/>
      <c r="L459" s="92"/>
      <c r="M459" s="92"/>
      <c r="N459" s="92"/>
      <c r="O459" s="92"/>
      <c r="P459" s="92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202</v>
      </c>
      <c r="E460" s="617"/>
      <c r="F460" s="625"/>
      <c r="G460" s="761"/>
      <c r="H460" s="763" t="s">
        <v>35</v>
      </c>
      <c r="I460" s="269">
        <f ca="1">IFERROR(__xludf.DUMMYFUNCTION("IMPORTRANGE(""https://docs.google.com/spreadsheets/d/1QqKyyYR6Q21VydFLVH3TRQUabQu_ym0Zz7PgGX0-kHA/edit?usp=sharing"",""แผน!FN82"")"),40)</f>
        <v>40</v>
      </c>
      <c r="J460" s="214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203</v>
      </c>
      <c r="E461" s="625"/>
      <c r="F461" s="625"/>
      <c r="G461" s="761"/>
      <c r="H461" s="763"/>
      <c r="I461" s="269"/>
      <c r="J461" s="269"/>
      <c r="K461" s="497"/>
      <c r="L461" s="497"/>
      <c r="M461" s="497"/>
      <c r="N461" s="497"/>
      <c r="O461" s="497"/>
      <c r="P461" s="497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204</v>
      </c>
      <c r="E462" s="625"/>
      <c r="F462" s="625"/>
      <c r="G462" s="761"/>
      <c r="H462" s="763" t="s">
        <v>46</v>
      </c>
      <c r="I462" s="269">
        <f ca="1">IFERROR(__xludf.DUMMYFUNCTION("IMPORTRANGE(""https://docs.google.com/spreadsheets/d/1QqKyyYR6Q21VydFLVH3TRQUabQu_ym0Zz7PgGX0-kHA/edit?usp=sharing"",""แผน!FO82"")"),120)</f>
        <v>120</v>
      </c>
      <c r="J462" s="214">
        <v>120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8"/>
      <c r="H463" s="763" t="s">
        <v>46</v>
      </c>
      <c r="I463" s="269">
        <f ca="1">IFERROR(__xludf.DUMMYFUNCTION("IMPORTRANGE(""https://docs.google.com/spreadsheets/d/1QqKyyYR6Q21VydFLVH3TRQUabQu_ym0Zz7PgGX0-kHA/edit?usp=sharing"",""แผน!FO82"")"),120)</f>
        <v>120</v>
      </c>
      <c r="J463" s="214">
        <v>120</v>
      </c>
      <c r="K463" s="497"/>
      <c r="L463" s="497"/>
      <c r="M463" s="497"/>
      <c r="N463" s="497"/>
      <c r="O463" s="497"/>
      <c r="P463" s="497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69">
        <f ca="1">IFERROR(__xludf.DUMMYFUNCTION("IMPORTRANGE(""https://docs.google.com/spreadsheets/d/1QqKyyYR6Q21VydFLVH3TRQUabQu_ym0Zz7PgGX0-kHA/edit?usp=sharing"",""แผน!FN82"")"),40)</f>
        <v>40</v>
      </c>
      <c r="J464" s="214">
        <v>40</v>
      </c>
      <c r="K464" s="497"/>
      <c r="L464" s="497"/>
      <c r="M464" s="497"/>
      <c r="N464" s="497"/>
      <c r="O464" s="497"/>
      <c r="P464" s="497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205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IFERROR(__xludf.DUMMYFUNCTION("IMPORTRANGE(""https://docs.google.com/spreadsheets/d/1QqKyyYR6Q21VydFLVH3TRQUabQu_ym0Zz7PgGX0-kHA/edit?usp=sharing"",""แผน!FX82"")"),31)</f>
        <v>31</v>
      </c>
      <c r="J465" s="589">
        <f>J485+J489+J492</f>
        <v>31</v>
      </c>
      <c r="K465" s="590">
        <f ca="1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IFERROR(__xludf.DUMMYFUNCTION("IMPORTRANGE(""https://docs.google.com/spreadsheets/d/1QqKyyYR6Q21VydFLVH3TRQUabQu_ym0Zz7PgGX0-kHA/edit?usp=sharing"",""แผน!FW82"")"),300)</f>
        <v>300</v>
      </c>
      <c r="J466" s="569">
        <f>J495+J498</f>
        <v>300</v>
      </c>
      <c r="K466" s="570">
        <f ca="1">IF(I466&gt;0,J466*100/I466,0)</f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87" t="s">
        <v>17</v>
      </c>
      <c r="E467" s="888"/>
      <c r="F467" s="888"/>
      <c r="G467" s="188"/>
      <c r="H467" s="597" t="s">
        <v>12</v>
      </c>
      <c r="I467" s="269"/>
      <c r="J467" s="269"/>
      <c r="K467" s="497"/>
      <c r="L467" s="194">
        <f ca="1">L468+L469</f>
        <v>250523</v>
      </c>
      <c r="M467" s="194">
        <f ca="1">M468+M469</f>
        <v>263773</v>
      </c>
      <c r="N467" s="194">
        <f>N468+N469</f>
        <v>263773</v>
      </c>
      <c r="O467" s="194">
        <f t="shared" ref="O467:O472" ca="1" si="78">IF(L467&gt;0,N467*100/L467,0)</f>
        <v>105.28893554683602</v>
      </c>
      <c r="P467" s="194">
        <f t="shared" ref="P467:P472" ca="1" si="79">IF(M467&gt;0,N467*100/M467,0)</f>
        <v>100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184</v>
      </c>
      <c r="F468" s="758"/>
      <c r="G468" s="602"/>
      <c r="H468" s="164" t="s">
        <v>12</v>
      </c>
      <c r="I468" s="616"/>
      <c r="J468" s="616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185</v>
      </c>
      <c r="F469" s="758"/>
      <c r="G469" s="602"/>
      <c r="H469" s="164" t="s">
        <v>12</v>
      </c>
      <c r="I469" s="616"/>
      <c r="J469" s="616"/>
      <c r="K469" s="92"/>
      <c r="L469" s="92">
        <f t="shared" ca="1" si="80"/>
        <v>250523</v>
      </c>
      <c r="M469" s="92">
        <f t="shared" ca="1" si="80"/>
        <v>263773</v>
      </c>
      <c r="N469" s="92">
        <f t="shared" si="80"/>
        <v>263773</v>
      </c>
      <c r="O469" s="92">
        <f t="shared" ca="1" si="78"/>
        <v>105.28893554683602</v>
      </c>
      <c r="P469" s="92">
        <f t="shared" ca="1" si="79"/>
        <v>100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8"/>
      <c r="H470" s="160" t="s">
        <v>12</v>
      </c>
      <c r="I470" s="183"/>
      <c r="J470" s="183"/>
      <c r="K470" s="162"/>
      <c r="L470" s="497">
        <f ca="1">L471+L472</f>
        <v>250523</v>
      </c>
      <c r="M470" s="497">
        <f ca="1">M471+M472</f>
        <v>263773</v>
      </c>
      <c r="N470" s="497">
        <f>N471+N472</f>
        <v>263773</v>
      </c>
      <c r="O470" s="497">
        <f t="shared" ca="1" si="78"/>
        <v>105.28893554683602</v>
      </c>
      <c r="P470" s="497">
        <f t="shared" ca="1" si="79"/>
        <v>100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184</v>
      </c>
      <c r="F471" s="758"/>
      <c r="G471" s="602"/>
      <c r="H471" s="164" t="s">
        <v>12</v>
      </c>
      <c r="I471" s="616"/>
      <c r="J471" s="616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185</v>
      </c>
      <c r="F472" s="758"/>
      <c r="G472" s="602"/>
      <c r="H472" s="164" t="s">
        <v>12</v>
      </c>
      <c r="I472" s="616"/>
      <c r="J472" s="616"/>
      <c r="K472" s="92"/>
      <c r="L472" s="92">
        <f ca="1">IFERROR(__xludf.DUMMYFUNCTION("IMPORTRANGE(""https://docs.google.com/spreadsheets/d/1QqKyyYR6Q21VydFLVH3TRQUabQu_ym0Zz7PgGX0-kHA/edit?usp=sharing"",""แผน!FS82"")"),250523)</f>
        <v>250523</v>
      </c>
      <c r="M472" s="92">
        <f ca="1">L472+13250</f>
        <v>263773</v>
      </c>
      <c r="N472" s="92">
        <f>N473+N474+N475+N476</f>
        <v>263773</v>
      </c>
      <c r="O472" s="92">
        <f t="shared" ca="1" si="78"/>
        <v>105.28893554683602</v>
      </c>
      <c r="P472" s="92">
        <f t="shared" ca="1" si="79"/>
        <v>100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826">
        <v>47696</v>
      </c>
      <c r="O473" s="497"/>
      <c r="P473" s="497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826">
        <v>190000</v>
      </c>
      <c r="O474" s="497"/>
      <c r="P474" s="497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826">
        <v>0</v>
      </c>
      <c r="O475" s="497"/>
      <c r="P475" s="497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826">
        <v>26077</v>
      </c>
      <c r="O476" s="497"/>
      <c r="P476" s="497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IFERROR(__xludf.DUMMYFUNCTION("IMPORTRANGE(""https://docs.google.com/spreadsheets/d/1QqKyyYR6Q21VydFLVH3TRQUabQu_ym0Zz7PgGX0-kHA/edit?usp=sharing"",""แผน!FV82"")"),0)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43" t="s">
        <v>38</v>
      </c>
      <c r="E480" s="610"/>
      <c r="F480" s="760"/>
      <c r="G480" s="612"/>
      <c r="H480" s="761"/>
      <c r="I480" s="269"/>
      <c r="J480" s="269"/>
      <c r="K480" s="497"/>
      <c r="L480" s="497"/>
      <c r="M480" s="497"/>
      <c r="N480" s="497"/>
      <c r="O480" s="497"/>
      <c r="P480" s="497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206</v>
      </c>
      <c r="E481" s="617"/>
      <c r="F481" s="617"/>
      <c r="G481" s="761"/>
      <c r="H481" s="188"/>
      <c r="I481" s="269"/>
      <c r="J481" s="269"/>
      <c r="K481" s="497"/>
      <c r="L481" s="497"/>
      <c r="M481" s="497"/>
      <c r="N481" s="497"/>
      <c r="O481" s="497"/>
      <c r="P481" s="497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207</v>
      </c>
      <c r="F482" s="617"/>
      <c r="G482" s="761"/>
      <c r="H482" s="188"/>
      <c r="I482" s="269"/>
      <c r="J482" s="269"/>
      <c r="K482" s="497"/>
      <c r="L482" s="497"/>
      <c r="M482" s="497"/>
      <c r="N482" s="497"/>
      <c r="O482" s="497"/>
      <c r="P482" s="497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208</v>
      </c>
      <c r="G483" s="761"/>
      <c r="H483" s="622" t="s">
        <v>46</v>
      </c>
      <c r="I483" s="269">
        <f ca="1">IFERROR(__xludf.DUMMYFUNCTION("IMPORTRANGE(""https://docs.google.com/spreadsheets/d/1QqKyyYR6Q21VydFLVH3TRQUabQu_ym0Zz7PgGX0-kHA/edit?usp=sharing"",""แผน!FY82"")"),270)</f>
        <v>270</v>
      </c>
      <c r="J483" s="214">
        <v>270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209</v>
      </c>
      <c r="G484" s="761"/>
      <c r="H484" s="622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210</v>
      </c>
      <c r="G485" s="761"/>
      <c r="H485" s="622" t="s">
        <v>35</v>
      </c>
      <c r="I485" s="269">
        <f ca="1">IFERROR(__xludf.DUMMYFUNCTION("IMPORTRANGE(""https://docs.google.com/spreadsheets/d/1QqKyyYR6Q21VydFLVH3TRQUabQu_ym0Zz7PgGX0-kHA/edit?usp=sharing"",""แผน!FZ82"")"),27)</f>
        <v>27</v>
      </c>
      <c r="J485" s="214">
        <v>27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69"/>
      <c r="J486" s="269"/>
      <c r="K486" s="497"/>
      <c r="L486" s="497"/>
      <c r="M486" s="497"/>
      <c r="N486" s="497"/>
      <c r="O486" s="497"/>
      <c r="P486" s="497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208</v>
      </c>
      <c r="G487" s="761"/>
      <c r="H487" s="622" t="s">
        <v>46</v>
      </c>
      <c r="I487" s="269">
        <f ca="1">IFERROR(__xludf.DUMMYFUNCTION("IMPORTRANGE(""https://docs.google.com/spreadsheets/d/1QqKyyYR6Q21VydFLVH3TRQUabQu_ym0Zz7PgGX0-kHA/edit?usp=sharing"",""แผน!GA82"")"),30)</f>
        <v>30</v>
      </c>
      <c r="J487" s="214">
        <v>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211</v>
      </c>
      <c r="G488" s="761"/>
      <c r="H488" s="622" t="s">
        <v>35</v>
      </c>
      <c r="I488" s="269"/>
      <c r="J488" s="214">
        <v>4</v>
      </c>
      <c r="K488" s="497"/>
      <c r="L488" s="497"/>
      <c r="M488" s="497"/>
      <c r="N488" s="497"/>
      <c r="O488" s="497"/>
      <c r="P488" s="497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212</v>
      </c>
      <c r="G489" s="761"/>
      <c r="H489" s="622" t="s">
        <v>35</v>
      </c>
      <c r="I489" s="269">
        <f ca="1">IFERROR(__xludf.DUMMYFUNCTION("IMPORTRANGE(""https://docs.google.com/spreadsheets/d/1QqKyyYR6Q21VydFLVH3TRQUabQu_ym0Zz7PgGX0-kHA/edit?usp=sharing"",""แผน!GB82"")"),3)</f>
        <v>3</v>
      </c>
      <c r="J489" s="214">
        <v>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69"/>
      <c r="J490" s="269"/>
      <c r="K490" s="497"/>
      <c r="L490" s="497"/>
      <c r="M490" s="497"/>
      <c r="N490" s="497"/>
      <c r="O490" s="497"/>
      <c r="P490" s="497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213</v>
      </c>
      <c r="G491" s="761"/>
      <c r="H491" s="622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214</v>
      </c>
      <c r="G492" s="761"/>
      <c r="H492" s="622" t="s">
        <v>35</v>
      </c>
      <c r="I492" s="269">
        <f ca="1">IFERROR(__xludf.DUMMYFUNCTION("IMPORTRANGE(""https://docs.google.com/spreadsheets/d/1QqKyyYR6Q21VydFLVH3TRQUabQu_ym0Zz7PgGX0-kHA/edit?usp=sharing"",""แผน!GC82"")"),1)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8"/>
      <c r="I493" s="269"/>
      <c r="J493" s="269"/>
      <c r="K493" s="497"/>
      <c r="L493" s="497"/>
      <c r="M493" s="497"/>
      <c r="N493" s="497"/>
      <c r="O493" s="497"/>
      <c r="P493" s="497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207</v>
      </c>
      <c r="F494" s="625"/>
      <c r="G494" s="761"/>
      <c r="H494" s="188"/>
      <c r="I494" s="269"/>
      <c r="J494" s="269"/>
      <c r="K494" s="497"/>
      <c r="L494" s="497"/>
      <c r="M494" s="497"/>
      <c r="N494" s="497"/>
      <c r="O494" s="497"/>
      <c r="P494" s="497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215</v>
      </c>
      <c r="G495" s="761"/>
      <c r="H495" s="622" t="s">
        <v>46</v>
      </c>
      <c r="I495" s="269">
        <f ca="1">IFERROR(__xludf.DUMMYFUNCTION("IMPORTRANGE(""https://docs.google.com/spreadsheets/d/1QqKyyYR6Q21VydFLVH3TRQUabQu_ym0Zz7PgGX0-kHA/edit?usp=sharing"",""แผน!FY82"")"),270)</f>
        <v>270</v>
      </c>
      <c r="J495" s="214">
        <v>270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216</v>
      </c>
      <c r="G496" s="761"/>
      <c r="H496" s="622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8"/>
      <c r="I497" s="269"/>
      <c r="J497" s="269"/>
      <c r="K497" s="497"/>
      <c r="L497" s="497"/>
      <c r="M497" s="497"/>
      <c r="N497" s="497"/>
      <c r="O497" s="497"/>
      <c r="P497" s="497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217</v>
      </c>
      <c r="G498" s="761"/>
      <c r="H498" s="622" t="s">
        <v>46</v>
      </c>
      <c r="I498" s="269">
        <f ca="1">IFERROR(__xludf.DUMMYFUNCTION("IMPORTRANGE(""https://docs.google.com/spreadsheets/d/1QqKyyYR6Q21VydFLVH3TRQUabQu_ym0Zz7PgGX0-kHA/edit?usp=sharing"",""แผน!GA82"")"),30)</f>
        <v>30</v>
      </c>
      <c r="J498" s="214">
        <v>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218</v>
      </c>
      <c r="G499" s="761"/>
      <c r="H499" s="622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219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>J516</f>
        <v>0</v>
      </c>
      <c r="K500" s="633">
        <f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220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>J517</f>
        <v>0</v>
      </c>
      <c r="K501" s="642">
        <f>IF(I501&gt;0,J501*100/I501,0)</f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92" t="s">
        <v>17</v>
      </c>
      <c r="E502" s="888"/>
      <c r="F502" s="888"/>
      <c r="G502" s="602"/>
      <c r="H502" s="645" t="s">
        <v>12</v>
      </c>
      <c r="I502" s="616"/>
      <c r="J502" s="616"/>
      <c r="K502" s="92"/>
      <c r="L502" s="646">
        <f>L503+L504</f>
        <v>0</v>
      </c>
      <c r="M502" s="646">
        <f>M503+M504</f>
        <v>0</v>
      </c>
      <c r="N502" s="646">
        <f>N503+N504</f>
        <v>0</v>
      </c>
      <c r="O502" s="646">
        <f t="shared" ref="O502:O507" si="81">IF(L502&gt;0,N502*100/L502,0)</f>
        <v>0</v>
      </c>
      <c r="P502" s="646">
        <f t="shared" ref="P502:P507" si="82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184</v>
      </c>
      <c r="F503" s="758"/>
      <c r="G503" s="602"/>
      <c r="H503" s="164" t="s">
        <v>12</v>
      </c>
      <c r="I503" s="616"/>
      <c r="J503" s="616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185</v>
      </c>
      <c r="F504" s="758"/>
      <c r="G504" s="602"/>
      <c r="H504" s="164" t="s">
        <v>12</v>
      </c>
      <c r="I504" s="616"/>
      <c r="J504" s="616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184</v>
      </c>
      <c r="F506" s="758"/>
      <c r="G506" s="602"/>
      <c r="H506" s="164" t="s">
        <v>12</v>
      </c>
      <c r="I506" s="616"/>
      <c r="J506" s="616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185</v>
      </c>
      <c r="F507" s="758"/>
      <c r="G507" s="602"/>
      <c r="H507" s="164" t="s">
        <v>12</v>
      </c>
      <c r="I507" s="616"/>
      <c r="J507" s="616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186</v>
      </c>
      <c r="G508" s="602"/>
      <c r="H508" s="164" t="s">
        <v>12</v>
      </c>
      <c r="I508" s="616"/>
      <c r="J508" s="616"/>
      <c r="K508" s="92"/>
      <c r="L508" s="92"/>
      <c r="M508" s="92"/>
      <c r="N508" s="92">
        <v>0</v>
      </c>
      <c r="O508" s="92"/>
      <c r="P508" s="92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187</v>
      </c>
      <c r="G509" s="602"/>
      <c r="H509" s="164" t="s">
        <v>12</v>
      </c>
      <c r="I509" s="616"/>
      <c r="J509" s="616"/>
      <c r="K509" s="92"/>
      <c r="L509" s="92"/>
      <c r="M509" s="92"/>
      <c r="N509" s="92">
        <v>0</v>
      </c>
      <c r="O509" s="92"/>
      <c r="P509" s="92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188</v>
      </c>
      <c r="G510" s="602"/>
      <c r="H510" s="164" t="s">
        <v>12</v>
      </c>
      <c r="I510" s="616"/>
      <c r="J510" s="616"/>
      <c r="K510" s="92"/>
      <c r="L510" s="92"/>
      <c r="M510" s="92"/>
      <c r="N510" s="92">
        <v>0</v>
      </c>
      <c r="O510" s="92"/>
      <c r="P510" s="92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189</v>
      </c>
      <c r="G511" s="602"/>
      <c r="H511" s="164" t="s">
        <v>12</v>
      </c>
      <c r="I511" s="616"/>
      <c r="J511" s="616"/>
      <c r="K511" s="92"/>
      <c r="L511" s="92"/>
      <c r="M511" s="92"/>
      <c r="N511" s="92">
        <v>0</v>
      </c>
      <c r="O511" s="92"/>
      <c r="P511" s="92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42" t="s">
        <v>38</v>
      </c>
      <c r="E515" s="650"/>
      <c r="F515" s="650"/>
      <c r="G515" s="651"/>
      <c r="H515" s="365"/>
      <c r="I515" s="165"/>
      <c r="J515" s="165"/>
      <c r="K515" s="166"/>
      <c r="L515" s="166"/>
      <c r="M515" s="166"/>
      <c r="N515" s="166"/>
      <c r="O515" s="166"/>
      <c r="P515" s="166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221</v>
      </c>
      <c r="E516" s="719"/>
      <c r="F516" s="719"/>
      <c r="G516" s="365"/>
      <c r="H516" s="652" t="s">
        <v>109</v>
      </c>
      <c r="I516" s="616"/>
      <c r="J516" s="616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222</v>
      </c>
      <c r="E517" s="719"/>
      <c r="F517" s="719"/>
      <c r="G517" s="365"/>
      <c r="H517" s="653" t="s">
        <v>35</v>
      </c>
      <c r="I517" s="654"/>
      <c r="J517" s="654">
        <f>J518+J519</f>
        <v>0</v>
      </c>
      <c r="K517" s="655">
        <f>IF(I517&gt;0,J517*100/I517,0)</f>
        <v>0</v>
      </c>
      <c r="L517" s="166"/>
      <c r="M517" s="166"/>
      <c r="N517" s="166"/>
      <c r="O517" s="166"/>
      <c r="P517" s="166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223</v>
      </c>
      <c r="F518" s="719"/>
      <c r="G518" s="365"/>
      <c r="H518" s="369" t="s">
        <v>35</v>
      </c>
      <c r="I518" s="616"/>
      <c r="J518" s="616"/>
      <c r="K518" s="166"/>
      <c r="L518" s="166"/>
      <c r="M518" s="166"/>
      <c r="N518" s="166"/>
      <c r="O518" s="166"/>
      <c r="P518" s="166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224</v>
      </c>
      <c r="F519" s="719"/>
      <c r="G519" s="365"/>
      <c r="H519" s="652" t="s">
        <v>35</v>
      </c>
      <c r="I519" s="616"/>
      <c r="J519" s="616"/>
      <c r="K519" s="166"/>
      <c r="L519" s="166"/>
      <c r="M519" s="166"/>
      <c r="N519" s="166"/>
      <c r="O519" s="166"/>
      <c r="P519" s="166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225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226</v>
      </c>
      <c r="C522" s="672"/>
      <c r="D522" s="672"/>
      <c r="E522" s="672"/>
      <c r="F522" s="672"/>
      <c r="G522" s="673"/>
      <c r="H522" s="674" t="s">
        <v>35</v>
      </c>
      <c r="I522" s="707">
        <f ca="1">I537</f>
        <v>0</v>
      </c>
      <c r="J522" s="707">
        <f ca="1">J537</f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87" t="s">
        <v>17</v>
      </c>
      <c r="E523" s="888"/>
      <c r="F523" s="888"/>
      <c r="G523" s="188"/>
      <c r="H523" s="597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184</v>
      </c>
      <c r="F524" s="758"/>
      <c r="G524" s="602"/>
      <c r="H524" s="164" t="s">
        <v>12</v>
      </c>
      <c r="I524" s="616"/>
      <c r="J524" s="616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185</v>
      </c>
      <c r="F525" s="758"/>
      <c r="G525" s="602"/>
      <c r="H525" s="164" t="s">
        <v>12</v>
      </c>
      <c r="I525" s="616"/>
      <c r="J525" s="616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184</v>
      </c>
      <c r="F527" s="758"/>
      <c r="G527" s="602"/>
      <c r="H527" s="164" t="s">
        <v>12</v>
      </c>
      <c r="I527" s="616"/>
      <c r="J527" s="616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185</v>
      </c>
      <c r="F528" s="758"/>
      <c r="G528" s="602"/>
      <c r="H528" s="164" t="s">
        <v>12</v>
      </c>
      <c r="I528" s="616"/>
      <c r="J528" s="616"/>
      <c r="K528" s="92"/>
      <c r="L528" s="92">
        <f ca="1">IFERROR(__xludf.DUMMYFUNCTION("IMPORTRANGE(""https://docs.google.com/spreadsheets/d/1QqKyyYR6Q21VydFLVH3TRQUabQu_ym0Zz7PgGX0-kHA/edit?usp=sharing"",""แผน!GQ82"")"),0)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826">
        <v>0</v>
      </c>
      <c r="O529" s="497"/>
      <c r="P529" s="497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826">
        <v>0</v>
      </c>
      <c r="O530" s="497"/>
      <c r="P530" s="497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826">
        <v>0</v>
      </c>
      <c r="O531" s="497"/>
      <c r="P531" s="497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826">
        <v>0</v>
      </c>
      <c r="O532" s="497"/>
      <c r="P532" s="497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IFERROR(__xludf.DUMMYFUNCTION("IMPORTRANGE(""https://docs.google.com/spreadsheets/d/1QqKyyYR6Q21VydFLVH3TRQUabQu_ym0Zz7PgGX0-kHA/edit?usp=sharing"",""แผน!GT82"")"),0)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41" t="s">
        <v>38</v>
      </c>
      <c r="E536" s="760"/>
      <c r="F536" s="760"/>
      <c r="G536" s="612"/>
      <c r="H536" s="761"/>
      <c r="I536" s="183"/>
      <c r="J536" s="183"/>
      <c r="K536" s="162"/>
      <c r="L536" s="162"/>
      <c r="M536" s="162"/>
      <c r="N536" s="162"/>
      <c r="O536" s="162"/>
      <c r="P536" s="162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227</v>
      </c>
      <c r="E537" s="762"/>
      <c r="F537" s="762"/>
      <c r="G537" s="188"/>
      <c r="H537" s="622" t="s">
        <v>35</v>
      </c>
      <c r="I537" s="680">
        <f ca="1">IFERROR(__xludf.DUMMYFUNCTION("IMPORTRANGE(""https://docs.google.com/spreadsheets/d/1QqKyyYR6Q21VydFLVH3TRQUabQu_ym0Zz7PgGX0-kHA/edit?usp=sharing"",""แผน!GU82"")"),0)</f>
        <v>0</v>
      </c>
      <c r="J537" s="680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228</v>
      </c>
      <c r="F538" s="762"/>
      <c r="G538" s="188"/>
      <c r="H538" s="622" t="s">
        <v>35</v>
      </c>
      <c r="I538" s="269">
        <f ca="1">IFERROR(__xludf.DUMMYFUNCTION("IMPORTRANGE(""https://docs.google.com/spreadsheets/d/1QqKyyYR6Q21VydFLVH3TRQUabQu_ym0Zz7PgGX0-kHA/edit?usp=sharing"",""แผน!GV82"")"),0)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229</v>
      </c>
      <c r="F539" s="762"/>
      <c r="G539" s="188"/>
      <c r="H539" s="622" t="s">
        <v>35</v>
      </c>
      <c r="I539" s="269">
        <f ca="1">IFERROR(__xludf.DUMMYFUNCTION("IMPORTRANGE(""https://docs.google.com/spreadsheets/d/1QqKyyYR6Q21VydFLVH3TRQUabQu_ym0Zz7PgGX0-kHA/edit?usp=sharing"",""แผน!GW82"")"),0)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230</v>
      </c>
      <c r="F540" s="762"/>
      <c r="G540" s="188"/>
      <c r="H540" s="622" t="s">
        <v>35</v>
      </c>
      <c r="I540" s="269">
        <f ca="1">IFERROR(__xludf.DUMMYFUNCTION("IMPORTRANGE(""https://docs.google.com/spreadsheets/d/1QqKyyYR6Q21VydFLVH3TRQUabQu_ym0Zz7PgGX0-kHA/edit?usp=sharing"",""แผน!GX82"")"),0)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231</v>
      </c>
      <c r="F541" s="762"/>
      <c r="G541" s="188"/>
      <c r="H541" s="622" t="s">
        <v>35</v>
      </c>
      <c r="I541" s="269">
        <f ca="1">IFERROR(__xludf.DUMMYFUNCTION("IMPORTRANGE(""https://docs.google.com/spreadsheets/d/1QqKyyYR6Q21VydFLVH3TRQUabQu_ym0Zz7PgGX0-kHA/edit?usp=sharing"",""แผน!GY82"")"),0)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8"/>
      <c r="H542" s="622" t="s">
        <v>35</v>
      </c>
      <c r="I542" s="269">
        <f ca="1">IFERROR(__xludf.DUMMYFUNCTION("IMPORTRANGE(""https://docs.google.com/spreadsheets/d/1QqKyyYR6Q21VydFLVH3TRQUabQu_ym0Zz7PgGX0-kHA/edit?usp=sharing"",""แผน!GZ82"")"),0)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232</v>
      </c>
      <c r="C543" s="666"/>
      <c r="D543" s="666"/>
      <c r="E543" s="666"/>
      <c r="F543" s="666"/>
      <c r="G543" s="667"/>
      <c r="H543" s="685" t="s">
        <v>46</v>
      </c>
      <c r="I543" s="686">
        <f ca="1">I559</f>
        <v>36514.195</v>
      </c>
      <c r="J543" s="686">
        <f>J559</f>
        <v>36521.717500000006</v>
      </c>
      <c r="K543" s="687">
        <f t="shared" ca="1" si="87"/>
        <v>100.02060157700315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911" t="s">
        <v>17</v>
      </c>
      <c r="E544" s="890"/>
      <c r="F544" s="890"/>
      <c r="G544" s="690"/>
      <c r="H544" s="274" t="s">
        <v>12</v>
      </c>
      <c r="I544" s="420"/>
      <c r="J544" s="420"/>
      <c r="K544" s="153"/>
      <c r="L544" s="154">
        <f ca="1">L545+L546</f>
        <v>538875</v>
      </c>
      <c r="M544" s="154">
        <f ca="1">M545+M546</f>
        <v>387489.27</v>
      </c>
      <c r="N544" s="154">
        <f>N545+N546</f>
        <v>387489.27</v>
      </c>
      <c r="O544" s="154">
        <f t="shared" ref="O544:O549" ca="1" si="88">IF(L544&gt;0,N544*100/L544,0)</f>
        <v>71.907078636047316</v>
      </c>
      <c r="P544" s="154">
        <f t="shared" ref="P544:P549" ca="1" si="89">IF(M544&gt;0,N544*100/M544,0)</f>
        <v>100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184</v>
      </c>
      <c r="F545" s="758"/>
      <c r="G545" s="602"/>
      <c r="H545" s="164" t="s">
        <v>12</v>
      </c>
      <c r="I545" s="616"/>
      <c r="J545" s="616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185</v>
      </c>
      <c r="F546" s="758"/>
      <c r="G546" s="602"/>
      <c r="H546" s="164" t="s">
        <v>12</v>
      </c>
      <c r="I546" s="616"/>
      <c r="J546" s="616"/>
      <c r="K546" s="92"/>
      <c r="L546" s="92">
        <f ca="1">L549+L557</f>
        <v>538875</v>
      </c>
      <c r="M546" s="92">
        <f ca="1">M549+M556</f>
        <v>387489.27</v>
      </c>
      <c r="N546" s="92">
        <f>N549+N556</f>
        <v>387489.27</v>
      </c>
      <c r="O546" s="92">
        <f t="shared" ca="1" si="88"/>
        <v>71.907078636047316</v>
      </c>
      <c r="P546" s="92">
        <f t="shared" ca="1" si="89"/>
        <v>100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8"/>
      <c r="H547" s="160" t="s">
        <v>12</v>
      </c>
      <c r="I547" s="183"/>
      <c r="J547" s="183"/>
      <c r="K547" s="162"/>
      <c r="L547" s="497">
        <f ca="1">L548+L549</f>
        <v>538875</v>
      </c>
      <c r="M547" s="497">
        <f ca="1">M548+M549</f>
        <v>387489.27</v>
      </c>
      <c r="N547" s="497">
        <f>N548+N549</f>
        <v>387489.27</v>
      </c>
      <c r="O547" s="497">
        <f t="shared" ca="1" si="88"/>
        <v>71.907078636047316</v>
      </c>
      <c r="P547" s="497">
        <f t="shared" ca="1" si="89"/>
        <v>100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184</v>
      </c>
      <c r="F548" s="758"/>
      <c r="G548" s="602"/>
      <c r="H548" s="164" t="s">
        <v>12</v>
      </c>
      <c r="I548" s="616"/>
      <c r="J548" s="616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185</v>
      </c>
      <c r="F549" s="758"/>
      <c r="G549" s="602"/>
      <c r="H549" s="164" t="s">
        <v>12</v>
      </c>
      <c r="I549" s="616"/>
      <c r="J549" s="616"/>
      <c r="K549" s="92"/>
      <c r="L549" s="92">
        <f ca="1">IFERROR(__xludf.DUMMYFUNCTION("IMPORTRANGE(""https://docs.google.com/spreadsheets/d/1QqKyyYR6Q21VydFLVH3TRQUabQu_ym0Zz7PgGX0-kHA/edit?usp=sharing"",""แผน!HB82"")"),538875)</f>
        <v>538875</v>
      </c>
      <c r="M549" s="92">
        <f ca="1">L549-151385.73</f>
        <v>387489.27</v>
      </c>
      <c r="N549" s="92">
        <f>N550+N551+N552+N553+N554</f>
        <v>387489.27</v>
      </c>
      <c r="O549" s="92">
        <f t="shared" ca="1" si="88"/>
        <v>71.907078636047316</v>
      </c>
      <c r="P549" s="92">
        <f t="shared" ca="1" si="89"/>
        <v>100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826">
        <v>0</v>
      </c>
      <c r="O550" s="497"/>
      <c r="P550" s="497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826">
        <v>0</v>
      </c>
      <c r="O551" s="497"/>
      <c r="P551" s="497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826">
        <v>140427.48000000001</v>
      </c>
      <c r="O552" s="497"/>
      <c r="P552" s="497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826">
        <v>247061.79</v>
      </c>
      <c r="O553" s="497"/>
      <c r="P553" s="497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826">
        <v>0</v>
      </c>
      <c r="O554" s="497"/>
      <c r="P554" s="497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IFERROR(__xludf.DUMMYFUNCTION("IMPORTRANGE(""https://docs.google.com/spreadsheets/d/1QqKyyYR6Q21VydFLVH3TRQUabQu_ym0Zz7PgGX0-kHA/edit?usp=sharing"",""แผน!HF82"")"),0)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41" t="s">
        <v>38</v>
      </c>
      <c r="E558" s="760"/>
      <c r="F558" s="760"/>
      <c r="G558" s="612"/>
      <c r="H558" s="761"/>
      <c r="I558" s="183"/>
      <c r="J558" s="183"/>
      <c r="K558" s="162"/>
      <c r="L558" s="162"/>
      <c r="M558" s="162"/>
      <c r="N558" s="162"/>
      <c r="O558" s="162"/>
      <c r="P558" s="162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234</v>
      </c>
      <c r="C559" s="693"/>
      <c r="D559" s="693"/>
      <c r="E559" s="672"/>
      <c r="F559" s="672"/>
      <c r="G559" s="673"/>
      <c r="H559" s="694" t="s">
        <v>46</v>
      </c>
      <c r="I559" s="707">
        <f ca="1">I576</f>
        <v>36514.195</v>
      </c>
      <c r="J559" s="707">
        <f>J576</f>
        <v>36521.717500000006</v>
      </c>
      <c r="K559" s="676">
        <f ca="1">IF(I559&gt;0,J559*100/I559,0)</f>
        <v>100.02060157700315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235</v>
      </c>
      <c r="D560" s="617"/>
      <c r="E560" s="625"/>
      <c r="F560" s="625"/>
      <c r="G560" s="761"/>
      <c r="H560" s="766" t="s">
        <v>46</v>
      </c>
      <c r="I560" s="192">
        <f ca="1">IFERROR(__xludf.DUMMYFUNCTION("IMPORTRANGE(""https://docs.google.com/spreadsheets/d/1QqKyyYR6Q21VydFLVH3TRQUabQu_ym0Zz7PgGX0-kHA/edit?usp=sharing"",""แผน!HH82"")"),36514.195)</f>
        <v>36514.195</v>
      </c>
      <c r="J560" s="192">
        <f>J562+J564+J566</f>
        <v>36514.232499999998</v>
      </c>
      <c r="K560" s="411">
        <f ca="1">IF(I560&gt;0,J560*100/I560,0)</f>
        <v>100.00010269978566</v>
      </c>
      <c r="L560" s="162"/>
      <c r="M560" s="162"/>
      <c r="N560" s="162"/>
      <c r="O560" s="162"/>
      <c r="P560" s="162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2">
        <f ca="1">IFERROR(__xludf.DUMMYFUNCTION("IMPORTRANGE(""https://docs.google.com/spreadsheets/d/1QqKyyYR6Q21VydFLVH3TRQUabQu_ym0Zz7PgGX0-kHA/edit?usp=sharing"",""แผน!HG82"")"),7422)</f>
        <v>7422</v>
      </c>
      <c r="J561" s="192">
        <f>J563+J565+J567</f>
        <v>7422</v>
      </c>
      <c r="K561" s="411">
        <f ca="1">IF(I561&gt;0,J561*100/I561,0)</f>
        <v>100</v>
      </c>
      <c r="L561" s="162"/>
      <c r="M561" s="162"/>
      <c r="N561" s="162"/>
      <c r="O561" s="162"/>
      <c r="P561" s="162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236</v>
      </c>
      <c r="E562" s="625"/>
      <c r="F562" s="625"/>
      <c r="G562" s="761"/>
      <c r="H562" s="763" t="s">
        <v>46</v>
      </c>
      <c r="I562" s="183"/>
      <c r="J562" s="214">
        <v>31338.235000000001</v>
      </c>
      <c r="K562" s="162"/>
      <c r="L562" s="162"/>
      <c r="M562" s="162"/>
      <c r="N562" s="162"/>
      <c r="O562" s="162"/>
      <c r="P562" s="162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3"/>
      <c r="J563" s="214">
        <v>6525</v>
      </c>
      <c r="K563" s="162"/>
      <c r="L563" s="162"/>
      <c r="M563" s="162"/>
      <c r="N563" s="162"/>
      <c r="O563" s="162"/>
      <c r="P563" s="162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237</v>
      </c>
      <c r="E564" s="625"/>
      <c r="F564" s="625"/>
      <c r="G564" s="761"/>
      <c r="H564" s="763" t="s">
        <v>46</v>
      </c>
      <c r="I564" s="183"/>
      <c r="J564" s="214">
        <v>4457.84</v>
      </c>
      <c r="K564" s="162"/>
      <c r="L564" s="162"/>
      <c r="M564" s="162"/>
      <c r="N564" s="162"/>
      <c r="O564" s="162"/>
      <c r="P564" s="162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3"/>
      <c r="J565" s="214">
        <v>773</v>
      </c>
      <c r="K565" s="162"/>
      <c r="L565" s="162"/>
      <c r="M565" s="162"/>
      <c r="N565" s="162"/>
      <c r="O565" s="162"/>
      <c r="P565" s="162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238</v>
      </c>
      <c r="E566" s="625"/>
      <c r="F566" s="625"/>
      <c r="G566" s="761"/>
      <c r="H566" s="763" t="s">
        <v>46</v>
      </c>
      <c r="I566" s="183"/>
      <c r="J566" s="214">
        <v>718.15750000000003</v>
      </c>
      <c r="K566" s="162"/>
      <c r="L566" s="162"/>
      <c r="M566" s="162"/>
      <c r="N566" s="162"/>
      <c r="O566" s="162"/>
      <c r="P566" s="162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3"/>
      <c r="J567" s="214">
        <v>124</v>
      </c>
      <c r="K567" s="162"/>
      <c r="L567" s="162"/>
      <c r="M567" s="162"/>
      <c r="N567" s="162"/>
      <c r="O567" s="162"/>
      <c r="P567" s="162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239</v>
      </c>
      <c r="D568" s="625"/>
      <c r="E568" s="625"/>
      <c r="F568" s="625"/>
      <c r="G568" s="761"/>
      <c r="H568" s="766" t="s">
        <v>46</v>
      </c>
      <c r="I568" s="192">
        <f ca="1">IFERROR(__xludf.DUMMYFUNCTION("IMPORTRANGE(""https://docs.google.com/spreadsheets/d/1QqKyyYR6Q21VydFLVH3TRQUabQu_ym0Zz7PgGX0-kHA/edit?usp=sharing"",""แผน!HH82"")"),36514.195)</f>
        <v>36514.195</v>
      </c>
      <c r="J568" s="680">
        <f>J570+J572+J574</f>
        <v>36514.777499999997</v>
      </c>
      <c r="K568" s="411">
        <f ca="1">IF(I568&gt;0,J568*100/I568,0)</f>
        <v>100.00159527000389</v>
      </c>
      <c r="L568" s="162"/>
      <c r="M568" s="162"/>
      <c r="N568" s="162"/>
      <c r="O568" s="162"/>
      <c r="P568" s="162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2">
        <f ca="1">IFERROR(__xludf.DUMMYFUNCTION("IMPORTRANGE(""https://docs.google.com/spreadsheets/d/1QqKyyYR6Q21VydFLVH3TRQUabQu_ym0Zz7PgGX0-kHA/edit?usp=sharing"",""แผน!HG82"")"),7422)</f>
        <v>7422</v>
      </c>
      <c r="J569" s="680">
        <f>J571+J573+J575</f>
        <v>7422</v>
      </c>
      <c r="K569" s="411">
        <f ca="1">IF(I569&gt;0,J569*100/I569,0)</f>
        <v>100</v>
      </c>
      <c r="L569" s="162"/>
      <c r="M569" s="162"/>
      <c r="N569" s="162"/>
      <c r="O569" s="162"/>
      <c r="P569" s="162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240</v>
      </c>
      <c r="E570" s="617"/>
      <c r="F570" s="625"/>
      <c r="G570" s="761"/>
      <c r="H570" s="763" t="s">
        <v>46</v>
      </c>
      <c r="I570" s="183"/>
      <c r="J570" s="214">
        <v>33777</v>
      </c>
      <c r="K570" s="162"/>
      <c r="L570" s="162"/>
      <c r="M570" s="162"/>
      <c r="N570" s="162"/>
      <c r="O570" s="162"/>
      <c r="P570" s="162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3"/>
      <c r="J571" s="214">
        <v>6929</v>
      </c>
      <c r="K571" s="162"/>
      <c r="L571" s="162"/>
      <c r="M571" s="162"/>
      <c r="N571" s="162"/>
      <c r="O571" s="162"/>
      <c r="P571" s="162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241</v>
      </c>
      <c r="E572" s="625"/>
      <c r="F572" s="625"/>
      <c r="G572" s="761"/>
      <c r="H572" s="763" t="s">
        <v>46</v>
      </c>
      <c r="I572" s="183"/>
      <c r="J572" s="214">
        <v>2062</v>
      </c>
      <c r="K572" s="162"/>
      <c r="L572" s="162"/>
      <c r="M572" s="162"/>
      <c r="N572" s="162"/>
      <c r="O572" s="162"/>
      <c r="P572" s="162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3"/>
      <c r="J573" s="214">
        <v>374</v>
      </c>
      <c r="K573" s="162"/>
      <c r="L573" s="162"/>
      <c r="M573" s="162"/>
      <c r="N573" s="162"/>
      <c r="O573" s="162"/>
      <c r="P573" s="162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242</v>
      </c>
      <c r="E574" s="625"/>
      <c r="F574" s="625"/>
      <c r="G574" s="761"/>
      <c r="H574" s="763" t="s">
        <v>46</v>
      </c>
      <c r="I574" s="183"/>
      <c r="J574" s="214">
        <v>675.77750000000003</v>
      </c>
      <c r="K574" s="162"/>
      <c r="L574" s="162"/>
      <c r="M574" s="162"/>
      <c r="N574" s="162"/>
      <c r="O574" s="162"/>
      <c r="P574" s="162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3"/>
      <c r="J575" s="214">
        <v>119</v>
      </c>
      <c r="K575" s="162"/>
      <c r="L575" s="162"/>
      <c r="M575" s="162"/>
      <c r="N575" s="162"/>
      <c r="O575" s="162"/>
      <c r="P575" s="162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243</v>
      </c>
      <c r="D576" s="617"/>
      <c r="E576" s="617"/>
      <c r="F576" s="625"/>
      <c r="G576" s="761"/>
      <c r="H576" s="766" t="s">
        <v>46</v>
      </c>
      <c r="I576" s="192">
        <f ca="1">IFERROR(__xludf.DUMMYFUNCTION("IMPORTRANGE(""https://docs.google.com/spreadsheets/d/1QqKyyYR6Q21VydFLVH3TRQUabQu_ym0Zz7PgGX0-kHA/edit?usp=sharing"",""แผน!HH82"")"),36514.195)</f>
        <v>36514.195</v>
      </c>
      <c r="J576" s="680">
        <f>J578+J580+J582+J588+J590</f>
        <v>36521.717500000006</v>
      </c>
      <c r="K576" s="411">
        <f ca="1">IF(I576&gt;0,J576*100/I576,0)</f>
        <v>100.02060157700315</v>
      </c>
      <c r="L576" s="162"/>
      <c r="M576" s="162"/>
      <c r="N576" s="162"/>
      <c r="O576" s="162"/>
      <c r="P576" s="162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2">
        <f ca="1">IFERROR(__xludf.DUMMYFUNCTION("IMPORTRANGE(""https://docs.google.com/spreadsheets/d/1QqKyyYR6Q21VydFLVH3TRQUabQu_ym0Zz7PgGX0-kHA/edit?usp=sharing"",""แผน!HG82"")"),7422)</f>
        <v>7422</v>
      </c>
      <c r="J577" s="680">
        <f>J579+J581+J583+J589+J591</f>
        <v>7422</v>
      </c>
      <c r="K577" s="411">
        <f ca="1">IF(I577&gt;0,J577*100/I577,0)</f>
        <v>100</v>
      </c>
      <c r="L577" s="162"/>
      <c r="M577" s="162"/>
      <c r="N577" s="162"/>
      <c r="O577" s="162"/>
      <c r="P577" s="162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244</v>
      </c>
      <c r="E578" s="625"/>
      <c r="F578" s="625"/>
      <c r="G578" s="761"/>
      <c r="H578" s="763" t="s">
        <v>46</v>
      </c>
      <c r="I578" s="183"/>
      <c r="J578" s="214">
        <v>35292.9</v>
      </c>
      <c r="K578" s="162"/>
      <c r="L578" s="162"/>
      <c r="M578" s="162"/>
      <c r="N578" s="162"/>
      <c r="O578" s="162"/>
      <c r="P578" s="162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3"/>
      <c r="J579" s="214">
        <v>7191</v>
      </c>
      <c r="K579" s="162"/>
      <c r="L579" s="162"/>
      <c r="M579" s="162"/>
      <c r="N579" s="162"/>
      <c r="O579" s="162"/>
      <c r="P579" s="162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245</v>
      </c>
      <c r="E580" s="625"/>
      <c r="F580" s="625"/>
      <c r="G580" s="761"/>
      <c r="H580" s="763" t="s">
        <v>46</v>
      </c>
      <c r="I580" s="183"/>
      <c r="J580" s="214">
        <v>10.422499999999999</v>
      </c>
      <c r="K580" s="162"/>
      <c r="L580" s="162"/>
      <c r="M580" s="162"/>
      <c r="N580" s="162"/>
      <c r="O580" s="162"/>
      <c r="P580" s="162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3"/>
      <c r="J581" s="214">
        <v>6</v>
      </c>
      <c r="K581" s="162"/>
      <c r="L581" s="162"/>
      <c r="M581" s="162"/>
      <c r="N581" s="162"/>
      <c r="O581" s="162"/>
      <c r="P581" s="162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246</v>
      </c>
      <c r="E582" s="625"/>
      <c r="F582" s="625"/>
      <c r="G582" s="761"/>
      <c r="H582" s="763" t="s">
        <v>46</v>
      </c>
      <c r="I582" s="183"/>
      <c r="J582" s="680">
        <f>J584+J586</f>
        <v>687.85500000000002</v>
      </c>
      <c r="K582" s="411"/>
      <c r="L582" s="162"/>
      <c r="M582" s="162"/>
      <c r="N582" s="162"/>
      <c r="O582" s="162"/>
      <c r="P582" s="162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3"/>
      <c r="J583" s="680">
        <f>J585+J587</f>
        <v>124</v>
      </c>
      <c r="K583" s="411"/>
      <c r="L583" s="162"/>
      <c r="M583" s="162"/>
      <c r="N583" s="162"/>
      <c r="O583" s="162"/>
      <c r="P583" s="162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247</v>
      </c>
      <c r="F584" s="625"/>
      <c r="G584" s="761"/>
      <c r="H584" s="763" t="s">
        <v>46</v>
      </c>
      <c r="I584" s="183"/>
      <c r="J584" s="214">
        <v>687.85500000000002</v>
      </c>
      <c r="K584" s="162"/>
      <c r="L584" s="162"/>
      <c r="M584" s="162"/>
      <c r="N584" s="162"/>
      <c r="O584" s="162"/>
      <c r="P584" s="162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3"/>
      <c r="J585" s="214">
        <v>124</v>
      </c>
      <c r="K585" s="162"/>
      <c r="L585" s="162"/>
      <c r="M585" s="162"/>
      <c r="N585" s="162"/>
      <c r="O585" s="162"/>
      <c r="P585" s="162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248</v>
      </c>
      <c r="F586" s="625"/>
      <c r="G586" s="761"/>
      <c r="H586" s="763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249</v>
      </c>
      <c r="E588" s="625"/>
      <c r="F588" s="625"/>
      <c r="G588" s="761"/>
      <c r="H588" s="763" t="s">
        <v>46</v>
      </c>
      <c r="I588" s="183"/>
      <c r="J588" s="214">
        <v>530.54</v>
      </c>
      <c r="K588" s="162"/>
      <c r="L588" s="162"/>
      <c r="M588" s="162"/>
      <c r="N588" s="162"/>
      <c r="O588" s="162"/>
      <c r="P588" s="162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3"/>
      <c r="J589" s="214">
        <v>101</v>
      </c>
      <c r="K589" s="162"/>
      <c r="L589" s="162"/>
      <c r="M589" s="162"/>
      <c r="N589" s="162"/>
      <c r="O589" s="162"/>
      <c r="P589" s="162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250</v>
      </c>
      <c r="E590" s="625"/>
      <c r="F590" s="625"/>
      <c r="G590" s="761"/>
      <c r="H590" s="763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251</v>
      </c>
      <c r="C592" s="693"/>
      <c r="D592" s="693"/>
      <c r="E592" s="672"/>
      <c r="F592" s="672"/>
      <c r="G592" s="673"/>
      <c r="H592" s="694" t="s">
        <v>46</v>
      </c>
      <c r="I592" s="702">
        <f ca="1">I593</f>
        <v>2370.63</v>
      </c>
      <c r="J592" s="707">
        <f>J593</f>
        <v>2215.9025000000001</v>
      </c>
      <c r="K592" s="676">
        <f ca="1">IF(I592&gt;0,J592*100/I592,0)</f>
        <v>93.473148487954674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252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IFERROR(__xludf.DUMMYFUNCTION("IMPORTRANGE(""https://docs.google.com/spreadsheets/d/1QqKyyYR6Q21VydFLVH3TRQUabQu_ym0Zz7PgGX0-kHA/edit?usp=sharing"",""แผน!HJ82"")"),2370.63)</f>
        <v>2370.63</v>
      </c>
      <c r="J593" s="192">
        <f>J595+J603+J609</f>
        <v>2215.9025000000001</v>
      </c>
      <c r="K593" s="411">
        <f ca="1">IF(I593&gt;0,J593*100/I593,0)</f>
        <v>93.473148487954674</v>
      </c>
      <c r="L593" s="162"/>
      <c r="M593" s="162"/>
      <c r="N593" s="162"/>
      <c r="O593" s="162"/>
      <c r="P593" s="162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2">
        <f ca="1">IFERROR(__xludf.DUMMYFUNCTION("IMPORTRANGE(""https://docs.google.com/spreadsheets/d/1QqKyyYR6Q21VydFLVH3TRQUabQu_ym0Zz7PgGX0-kHA/edit?usp=sharing"",""แผน!HI82"")"),404)</f>
        <v>404</v>
      </c>
      <c r="J594" s="192">
        <f>J596+J604+J610</f>
        <v>385</v>
      </c>
      <c r="K594" s="411">
        <f ca="1">IF(I594&gt;0,J594*100/I594,0)</f>
        <v>95.297029702970292</v>
      </c>
      <c r="L594" s="162"/>
      <c r="M594" s="162"/>
      <c r="N594" s="162"/>
      <c r="O594" s="162"/>
      <c r="P594" s="162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253</v>
      </c>
      <c r="D595" s="617"/>
      <c r="E595" s="617"/>
      <c r="F595" s="625"/>
      <c r="G595" s="761"/>
      <c r="H595" s="763" t="s">
        <v>46</v>
      </c>
      <c r="I595" s="183"/>
      <c r="J595" s="183">
        <f>J597+J599</f>
        <v>678.9325</v>
      </c>
      <c r="K595" s="162"/>
      <c r="L595" s="162"/>
      <c r="M595" s="162"/>
      <c r="N595" s="162"/>
      <c r="O595" s="162"/>
      <c r="P595" s="162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3"/>
      <c r="J596" s="183">
        <f>J598+J600</f>
        <v>88</v>
      </c>
      <c r="K596" s="162"/>
      <c r="L596" s="162"/>
      <c r="M596" s="162"/>
      <c r="N596" s="162"/>
      <c r="O596" s="162"/>
      <c r="P596" s="162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254</v>
      </c>
      <c r="E597" s="625"/>
      <c r="F597" s="625"/>
      <c r="G597" s="761"/>
      <c r="H597" s="763" t="s">
        <v>46</v>
      </c>
      <c r="I597" s="183"/>
      <c r="J597" s="214">
        <v>678.9325</v>
      </c>
      <c r="K597" s="162"/>
      <c r="L597" s="162"/>
      <c r="M597" s="162"/>
      <c r="N597" s="162"/>
      <c r="O597" s="162"/>
      <c r="P597" s="162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69"/>
      <c r="J598" s="214">
        <v>88</v>
      </c>
      <c r="K598" s="162"/>
      <c r="L598" s="162"/>
      <c r="M598" s="162"/>
      <c r="N598" s="162"/>
      <c r="O598" s="162"/>
      <c r="P598" s="162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255</v>
      </c>
      <c r="E599" s="625"/>
      <c r="F599" s="625"/>
      <c r="G599" s="761"/>
      <c r="H599" s="763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256</v>
      </c>
      <c r="E601" s="625"/>
      <c r="F601" s="625"/>
      <c r="G601" s="761"/>
      <c r="H601" s="763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257</v>
      </c>
      <c r="D603" s="617"/>
      <c r="E603" s="617"/>
      <c r="F603" s="625"/>
      <c r="G603" s="761"/>
      <c r="H603" s="763" t="s">
        <v>46</v>
      </c>
      <c r="I603" s="269"/>
      <c r="J603" s="269">
        <f>J605+J607</f>
        <v>1536.97</v>
      </c>
      <c r="K603" s="162"/>
      <c r="L603" s="162"/>
      <c r="M603" s="162"/>
      <c r="N603" s="162"/>
      <c r="O603" s="162"/>
      <c r="P603" s="162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69"/>
      <c r="J604" s="269">
        <f>J606+J608</f>
        <v>297</v>
      </c>
      <c r="K604" s="162"/>
      <c r="L604" s="162"/>
      <c r="M604" s="162"/>
      <c r="N604" s="162"/>
      <c r="O604" s="162"/>
      <c r="P604" s="162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258</v>
      </c>
      <c r="E605" s="625"/>
      <c r="F605" s="625"/>
      <c r="G605" s="761"/>
      <c r="H605" s="763" t="s">
        <v>46</v>
      </c>
      <c r="I605" s="269"/>
      <c r="J605" s="214">
        <v>1536.97</v>
      </c>
      <c r="K605" s="162"/>
      <c r="L605" s="162"/>
      <c r="M605" s="162"/>
      <c r="N605" s="162"/>
      <c r="O605" s="162"/>
      <c r="P605" s="162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69"/>
      <c r="J606" s="214">
        <v>297</v>
      </c>
      <c r="K606" s="162"/>
      <c r="L606" s="162"/>
      <c r="M606" s="162"/>
      <c r="N606" s="162"/>
      <c r="O606" s="162"/>
      <c r="P606" s="162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259</v>
      </c>
      <c r="E607" s="617"/>
      <c r="F607" s="625"/>
      <c r="G607" s="761"/>
      <c r="H607" s="763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260</v>
      </c>
      <c r="D609" s="617"/>
      <c r="E609" s="617"/>
      <c r="F609" s="625"/>
      <c r="G609" s="761"/>
      <c r="H609" s="763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1"/>
      <c r="B611" s="705" t="s">
        <v>261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262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>J614+J616</f>
        <v>0</v>
      </c>
      <c r="K612" s="716">
        <f>IF(I612&gt;0,J612*100/I612,0)</f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263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>J615+J617</f>
        <v>0</v>
      </c>
      <c r="K613" s="716">
        <f>IF(I613&gt;0,J613*100/I613,0)</f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264</v>
      </c>
      <c r="E614" s="615"/>
      <c r="F614" s="719"/>
      <c r="G614" s="365"/>
      <c r="H614" s="369" t="s">
        <v>46</v>
      </c>
      <c r="I614" s="616"/>
      <c r="J614" s="616">
        <v>0</v>
      </c>
      <c r="K614" s="166"/>
      <c r="L614" s="166"/>
      <c r="M614" s="166"/>
      <c r="N614" s="166"/>
      <c r="O614" s="166"/>
      <c r="P614" s="166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5"/>
      <c r="H615" s="369" t="s">
        <v>34</v>
      </c>
      <c r="I615" s="616"/>
      <c r="J615" s="616">
        <v>0</v>
      </c>
      <c r="K615" s="166"/>
      <c r="L615" s="166"/>
      <c r="M615" s="166"/>
      <c r="N615" s="166"/>
      <c r="O615" s="166"/>
      <c r="P615" s="166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264</v>
      </c>
      <c r="E616" s="719"/>
      <c r="F616" s="719"/>
      <c r="G616" s="365"/>
      <c r="H616" s="369" t="s">
        <v>46</v>
      </c>
      <c r="I616" s="616"/>
      <c r="J616" s="616">
        <v>0</v>
      </c>
      <c r="K616" s="166"/>
      <c r="L616" s="166"/>
      <c r="M616" s="166"/>
      <c r="N616" s="166"/>
      <c r="O616" s="166"/>
      <c r="P616" s="166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5"/>
      <c r="H617" s="369" t="s">
        <v>34</v>
      </c>
      <c r="I617" s="616"/>
      <c r="J617" s="616">
        <v>0</v>
      </c>
      <c r="K617" s="166"/>
      <c r="L617" s="166"/>
      <c r="M617" s="166"/>
      <c r="N617" s="166"/>
      <c r="O617" s="166"/>
      <c r="P617" s="166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265</v>
      </c>
      <c r="E618" s="719"/>
      <c r="F618" s="719"/>
      <c r="G618" s="365"/>
      <c r="H618" s="369" t="s">
        <v>46</v>
      </c>
      <c r="I618" s="616"/>
      <c r="J618" s="616">
        <v>0</v>
      </c>
      <c r="K618" s="166"/>
      <c r="L618" s="166"/>
      <c r="M618" s="166"/>
      <c r="N618" s="166"/>
      <c r="O618" s="166"/>
      <c r="P618" s="166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5"/>
      <c r="H619" s="369" t="s">
        <v>34</v>
      </c>
      <c r="I619" s="616"/>
      <c r="J619" s="616">
        <v>0</v>
      </c>
      <c r="K619" s="166"/>
      <c r="L619" s="166"/>
      <c r="M619" s="166"/>
      <c r="N619" s="166"/>
      <c r="O619" s="166"/>
      <c r="P619" s="166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1"/>
      <c r="B620" s="730"/>
      <c r="C620" s="723" t="s">
        <v>266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IFERROR(__xludf.DUMMYFUNCTION("IMPORTRANGE(""https://docs.google.com/spreadsheets/d/1QqKyyYR6Q21VydFLVH3TRQUabQu_ym0Zz7PgGX0-kHA/edit?usp=sharing"",""แผน!HL82"")"),13)</f>
        <v>13</v>
      </c>
      <c r="J620" s="727">
        <f>J622+J624+J626</f>
        <v>13</v>
      </c>
      <c r="K620" s="728">
        <f ca="1">IF(I620&gt;0,J620*100/I620,0)</f>
        <v>100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1"/>
      <c r="B621" s="730"/>
      <c r="C621" s="730" t="s">
        <v>267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IFERROR(__xludf.DUMMYFUNCTION("IMPORTRANGE(""https://docs.google.com/spreadsheets/d/1QqKyyYR6Q21VydFLVH3TRQUabQu_ym0Zz7PgGX0-kHA/edit?usp=sharing"",""แผน!HK82"")"),4)</f>
        <v>4</v>
      </c>
      <c r="J621" s="727">
        <f>J623+J625+J627</f>
        <v>4</v>
      </c>
      <c r="K621" s="728">
        <f ca="1">IF(I621&gt;0,J621*100/I621,0)</f>
        <v>100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5" t="s">
        <v>268</v>
      </c>
      <c r="E622" s="625"/>
      <c r="F622" s="625"/>
      <c r="G622" s="761"/>
      <c r="H622" s="763" t="s">
        <v>46</v>
      </c>
      <c r="I622" s="269"/>
      <c r="J622" s="214">
        <v>12</v>
      </c>
      <c r="K622" s="162"/>
      <c r="L622" s="162"/>
      <c r="M622" s="162"/>
      <c r="N622" s="162"/>
      <c r="O622" s="162"/>
      <c r="P622" s="162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69"/>
      <c r="J623" s="214">
        <v>3</v>
      </c>
      <c r="K623" s="162"/>
      <c r="L623" s="162"/>
      <c r="M623" s="162"/>
      <c r="N623" s="162"/>
      <c r="O623" s="162"/>
      <c r="P623" s="162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5" t="s">
        <v>264</v>
      </c>
      <c r="E624" s="625"/>
      <c r="F624" s="625"/>
      <c r="G624" s="761"/>
      <c r="H624" s="763" t="s">
        <v>46</v>
      </c>
      <c r="I624" s="269"/>
      <c r="J624" s="214">
        <v>1</v>
      </c>
      <c r="K624" s="162"/>
      <c r="L624" s="162"/>
      <c r="M624" s="162"/>
      <c r="N624" s="162"/>
      <c r="O624" s="162"/>
      <c r="P624" s="162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69"/>
      <c r="J625" s="214">
        <v>1</v>
      </c>
      <c r="K625" s="162"/>
      <c r="L625" s="162"/>
      <c r="M625" s="162"/>
      <c r="N625" s="162"/>
      <c r="O625" s="162"/>
      <c r="P625" s="162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5" t="s">
        <v>269</v>
      </c>
      <c r="E626" s="625"/>
      <c r="F626" s="625"/>
      <c r="G626" s="761"/>
      <c r="H626" s="763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1"/>
      <c r="B627" s="732"/>
      <c r="C627" s="732"/>
      <c r="D627" s="732"/>
      <c r="E627" s="733"/>
      <c r="F627" s="733"/>
      <c r="G627" s="734"/>
      <c r="H627" s="422" t="s">
        <v>34</v>
      </c>
      <c r="I627" s="505"/>
      <c r="J627" s="424">
        <v>0</v>
      </c>
      <c r="K627" s="384"/>
      <c r="L627" s="384"/>
      <c r="M627" s="384"/>
      <c r="N627" s="384"/>
      <c r="O627" s="384"/>
      <c r="P627" s="384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270</v>
      </c>
      <c r="C628" s="737"/>
      <c r="D628" s="737"/>
      <c r="E628" s="737"/>
      <c r="F628" s="737"/>
      <c r="G628" s="738"/>
      <c r="H628" s="739" t="s">
        <v>35</v>
      </c>
      <c r="I628" s="740">
        <f ca="1">I651</f>
        <v>0</v>
      </c>
      <c r="J628" s="740">
        <f ca="1">J651</f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87" t="s">
        <v>17</v>
      </c>
      <c r="E629" s="888"/>
      <c r="F629" s="888"/>
      <c r="G629" s="188"/>
      <c r="H629" s="597" t="s">
        <v>12</v>
      </c>
      <c r="I629" s="269"/>
      <c r="J629" s="269"/>
      <c r="K629" s="497"/>
      <c r="L629" s="194">
        <f ca="1">L630+L631</f>
        <v>0</v>
      </c>
      <c r="M629" s="194">
        <f>M630+M631</f>
        <v>0</v>
      </c>
      <c r="N629" s="194">
        <f>N630+N631</f>
        <v>0</v>
      </c>
      <c r="O629" s="194">
        <f t="shared" ref="O629:O634" ca="1" si="90">IF(L629&gt;0,N629*100/L629,0)</f>
        <v>0</v>
      </c>
      <c r="P629" s="194">
        <f t="shared" ref="P629:P634" si="91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184</v>
      </c>
      <c r="F630" s="758"/>
      <c r="G630" s="602"/>
      <c r="H630" s="164" t="s">
        <v>12</v>
      </c>
      <c r="I630" s="616"/>
      <c r="J630" s="616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185</v>
      </c>
      <c r="F631" s="758"/>
      <c r="G631" s="602"/>
      <c r="H631" s="164" t="s">
        <v>12</v>
      </c>
      <c r="I631" s="616"/>
      <c r="J631" s="616"/>
      <c r="K631" s="92"/>
      <c r="L631" s="92">
        <f t="shared" ca="1" si="92"/>
        <v>0</v>
      </c>
      <c r="M631" s="92">
        <f t="shared" si="92"/>
        <v>0</v>
      </c>
      <c r="N631" s="92">
        <f t="shared" si="92"/>
        <v>0</v>
      </c>
      <c r="O631" s="92">
        <f t="shared" ca="1" si="90"/>
        <v>0</v>
      </c>
      <c r="P631" s="92">
        <f t="shared" si="91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8"/>
      <c r="H632" s="160" t="s">
        <v>12</v>
      </c>
      <c r="I632" s="183"/>
      <c r="J632" s="183"/>
      <c r="K632" s="162"/>
      <c r="L632" s="497">
        <f ca="1">L633+L634</f>
        <v>0</v>
      </c>
      <c r="M632" s="497">
        <f>M633+M634</f>
        <v>0</v>
      </c>
      <c r="N632" s="497">
        <f>N633+N634</f>
        <v>0</v>
      </c>
      <c r="O632" s="497">
        <f t="shared" ca="1" si="90"/>
        <v>0</v>
      </c>
      <c r="P632" s="497">
        <f t="shared" si="91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184</v>
      </c>
      <c r="F633" s="758"/>
      <c r="G633" s="602"/>
      <c r="H633" s="164" t="s">
        <v>12</v>
      </c>
      <c r="I633" s="616"/>
      <c r="J633" s="616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185</v>
      </c>
      <c r="F634" s="758"/>
      <c r="G634" s="602"/>
      <c r="H634" s="164" t="s">
        <v>12</v>
      </c>
      <c r="I634" s="616"/>
      <c r="J634" s="616"/>
      <c r="K634" s="92"/>
      <c r="L634" s="92">
        <f ca="1">IFERROR(__xludf.DUMMYFUNCTION("IMPORTRANGE(""https://docs.google.com/spreadsheets/d/1QqKyyYR6Q21VydFLVH3TRQUabQu_ym0Zz7PgGX0-kHA/edit?usp=sharing"",""แผน!HN82"")"),0)</f>
        <v>0</v>
      </c>
      <c r="M634" s="92">
        <v>0</v>
      </c>
      <c r="N634" s="92">
        <f>N635+N636+N637+N638</f>
        <v>0</v>
      </c>
      <c r="O634" s="92">
        <f t="shared" ca="1" si="90"/>
        <v>0</v>
      </c>
      <c r="P634" s="92">
        <f t="shared" si="91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826">
        <v>0</v>
      </c>
      <c r="O635" s="497"/>
      <c r="P635" s="497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826">
        <v>0</v>
      </c>
      <c r="O636" s="497"/>
      <c r="P636" s="497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826">
        <v>0</v>
      </c>
      <c r="O637" s="497"/>
      <c r="P637" s="497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826">
        <v>0</v>
      </c>
      <c r="O638" s="497"/>
      <c r="P638" s="497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IFERROR(__xludf.DUMMYFUNCTION("IMPORTRANGE(""https://docs.google.com/spreadsheets/d/1QqKyyYR6Q21VydFLVH3TRQUabQu_ym0Zz7PgGX0-kHA/edit?usp=sharing"",""แผน!HQ82"")"),0)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41" t="s">
        <v>38</v>
      </c>
      <c r="E642" s="760"/>
      <c r="F642" s="760"/>
      <c r="G642" s="612"/>
      <c r="H642" s="761"/>
      <c r="I642" s="183"/>
      <c r="J642" s="183"/>
      <c r="K642" s="162"/>
      <c r="L642" s="162"/>
      <c r="M642" s="162"/>
      <c r="N642" s="162"/>
      <c r="O642" s="162"/>
      <c r="P642" s="162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271</v>
      </c>
      <c r="F643" s="625"/>
      <c r="G643" s="761"/>
      <c r="H643" s="763" t="s">
        <v>272</v>
      </c>
      <c r="I643" s="269">
        <f ca="1">IFERROR(__xludf.DUMMYFUNCTION("IMPORTRANGE(""https://docs.google.com/spreadsheets/d/1QqKyyYR6Q21VydFLVH3TRQUabQu_ym0Zz7PgGX0-kHA/edit?usp=sharing"",""แผน!HR82"")"),0)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273</v>
      </c>
      <c r="F644" s="625"/>
      <c r="G644" s="761"/>
      <c r="H644" s="763" t="s">
        <v>274</v>
      </c>
      <c r="I644" s="269">
        <f ca="1">IFERROR(__xludf.DUMMYFUNCTION("IMPORTRANGE(""https://docs.google.com/spreadsheets/d/1QqKyyYR6Q21VydFLVH3TRQUabQu_ym0Zz7PgGX0-kHA/edit?usp=sharing"",""แผน!HR82"")"),0)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275</v>
      </c>
      <c r="F645" s="625"/>
      <c r="G645" s="761"/>
      <c r="H645" s="763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IFERROR(__xludf.DUMMYFUNCTION("IMPORTRANGE(""https://docs.google.com/spreadsheets/d/1XWAQStnk-4SwqDmLtmXYiTMKHgktTP8We1SCoS47DrQ/edit?usp=sharing"",""จัดที่ดิน!AS82"")"),0)</f>
        <v>0</v>
      </c>
      <c r="K645" s="162">
        <f t="shared" si="93"/>
        <v>0</v>
      </c>
      <c r="L645" s="162"/>
      <c r="M645" s="162"/>
      <c r="N645" s="497"/>
      <c r="O645" s="162"/>
      <c r="P645" s="162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IFERROR(__xludf.DUMMYFUNCTION("IMPORTRANGE(""https://docs.google.com/spreadsheets/d/1XWAQStnk-4SwqDmLtmXYiTMKHgktTP8We1SCoS47DrQ/edit?usp=sharing"",""จัดที่ดิน!AT82"")"),0)</f>
        <v>0</v>
      </c>
      <c r="K646" s="497">
        <f t="shared" si="93"/>
        <v>0</v>
      </c>
      <c r="L646" s="162"/>
      <c r="M646" s="162"/>
      <c r="N646" s="497"/>
      <c r="O646" s="162"/>
      <c r="P646" s="162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69">
        <f ca="1">IFERROR(__xludf.DUMMYFUNCTION("IMPORTRANGE(""https://docs.google.com/spreadsheets/d/1QqKyyYR6Q21VydFLVH3TRQUabQu_ym0Zz7PgGX0-kHA/edit?usp=sharing"",""แผน!HS82"")"),0)</f>
        <v>0</v>
      </c>
      <c r="J647" s="269">
        <f ca="1">IFERROR(__xludf.DUMMYFUNCTION("IMPORTRANGE(""https://docs.google.com/spreadsheets/d/1XWAQStnk-4SwqDmLtmXYiTMKHgktTP8We1SCoS47DrQ/edit?usp=sharing"",""จัดที่ดิน!AU82"")"),0)</f>
        <v>0</v>
      </c>
      <c r="K647" s="162">
        <f t="shared" ca="1" si="93"/>
        <v>0</v>
      </c>
      <c r="L647" s="162"/>
      <c r="M647" s="162"/>
      <c r="N647" s="162"/>
      <c r="O647" s="162"/>
      <c r="P647" s="162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IFERROR(__xludf.DUMMYFUNCTION("IMPORTRANGE(""https://docs.google.com/spreadsheets/d/1XWAQStnk-4SwqDmLtmXYiTMKHgktTP8We1SCoS47DrQ/edit?usp=sharing"",""จัดที่ดิน!AV82"")"),0)</f>
        <v>0</v>
      </c>
      <c r="K648" s="497">
        <f t="shared" si="93"/>
        <v>0</v>
      </c>
      <c r="L648" s="162"/>
      <c r="M648" s="162"/>
      <c r="N648" s="162"/>
      <c r="O648" s="162"/>
      <c r="P648" s="162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276</v>
      </c>
      <c r="F649" s="625"/>
      <c r="G649" s="761"/>
      <c r="H649" s="763" t="s">
        <v>35</v>
      </c>
      <c r="I649" s="269">
        <f ca="1">IFERROR(__xludf.DUMMYFUNCTION("IMPORTRANGE(""https://docs.google.com/spreadsheets/d/1QqKyyYR6Q21VydFLVH3TRQUabQu_ym0Zz7PgGX0-kHA/edit?usp=sharing"",""แผน!HS82"")"),0)</f>
        <v>0</v>
      </c>
      <c r="J649" s="269">
        <f ca="1">IFERROR(__xludf.DUMMYFUNCTION("IMPORTRANGE(""https://docs.google.com/spreadsheets/d/1XWAQStnk-4SwqDmLtmXYiTMKHgktTP8We1SCoS47DrQ/edit?usp=sharing"",""จัดที่ดิน!AW82"")"),0)</f>
        <v>0</v>
      </c>
      <c r="K649" s="162">
        <f t="shared" ca="1" si="93"/>
        <v>0</v>
      </c>
      <c r="L649" s="162"/>
      <c r="M649" s="162"/>
      <c r="N649" s="162"/>
      <c r="O649" s="162"/>
      <c r="P649" s="162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IFERROR(__xludf.DUMMYFUNCTION("IMPORTRANGE(""https://docs.google.com/spreadsheets/d/1XWAQStnk-4SwqDmLtmXYiTMKHgktTP8We1SCoS47DrQ/edit?usp=sharing"",""จัดที่ดิน!AX82"")"),0)</f>
        <v>0</v>
      </c>
      <c r="K650" s="497">
        <f t="shared" si="93"/>
        <v>0</v>
      </c>
      <c r="L650" s="162"/>
      <c r="M650" s="162"/>
      <c r="N650" s="162"/>
      <c r="O650" s="162"/>
      <c r="P650" s="162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277</v>
      </c>
      <c r="F651" s="625"/>
      <c r="G651" s="761"/>
      <c r="H651" s="763" t="s">
        <v>35</v>
      </c>
      <c r="I651" s="269">
        <f ca="1">IFERROR(__xludf.DUMMYFUNCTION("IMPORTRANGE(""https://docs.google.com/spreadsheets/d/1QqKyyYR6Q21VydFLVH3TRQUabQu_ym0Zz7PgGX0-kHA/edit?usp=sharing"",""แผน!HS82"")"),0)</f>
        <v>0</v>
      </c>
      <c r="J651" s="269">
        <f ca="1">IFERROR(__xludf.DUMMYFUNCTION("IMPORTRANGE(""https://docs.google.com/spreadsheets/d/1XWAQStnk-4SwqDmLtmXYiTMKHgktTP8We1SCoS47DrQ/edit?usp=sharing"",""จัดที่ดิน!AY82"")"),0)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827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IFERROR(__xludf.DUMMYFUNCTION("IMPORTRANGE(""https://docs.google.com/spreadsheets/d/1XWAQStnk-4SwqDmLtmXYiTMKHgktTP8We1SCoS47DrQ/edit?usp=sharing"",""จัดที่ดิน!AZ82"")"),0)</f>
        <v>0</v>
      </c>
      <c r="K652" s="506">
        <f t="shared" si="93"/>
        <v>0</v>
      </c>
      <c r="L652" s="384"/>
      <c r="M652" s="384"/>
      <c r="N652" s="384"/>
      <c r="O652" s="384"/>
      <c r="P652" s="384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278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279</v>
      </c>
      <c r="C654" s="672"/>
      <c r="D654" s="672"/>
      <c r="E654" s="672"/>
      <c r="F654" s="672"/>
      <c r="G654" s="673"/>
      <c r="H654" s="706" t="s">
        <v>46</v>
      </c>
      <c r="I654" s="707">
        <f ca="1">I669</f>
        <v>50</v>
      </c>
      <c r="J654" s="707">
        <f>J669</f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887" t="s">
        <v>17</v>
      </c>
      <c r="E655" s="888"/>
      <c r="F655" s="888"/>
      <c r="G655" s="188"/>
      <c r="H655" s="597" t="s">
        <v>12</v>
      </c>
      <c r="I655" s="269"/>
      <c r="J655" s="269"/>
      <c r="K655" s="497"/>
      <c r="L655" s="194">
        <f ca="1">L656+L657</f>
        <v>11000</v>
      </c>
      <c r="M655" s="194">
        <f ca="1">M656+M657</f>
        <v>6240.4</v>
      </c>
      <c r="N655" s="194">
        <f>N656+N657</f>
        <v>6240.4</v>
      </c>
      <c r="O655" s="194">
        <f t="shared" ref="O655:O660" ca="1" si="94">IF(L655&gt;0,N655*100/L655,0)</f>
        <v>56.730909090909094</v>
      </c>
      <c r="P655" s="194">
        <f t="shared" ref="P655:P660" ca="1" si="95">IF(M655&gt;0,N655*100/M655,0)</f>
        <v>100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184</v>
      </c>
      <c r="F656" s="758"/>
      <c r="G656" s="602"/>
      <c r="H656" s="164" t="s">
        <v>12</v>
      </c>
      <c r="I656" s="616"/>
      <c r="J656" s="616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185</v>
      </c>
      <c r="F657" s="758"/>
      <c r="G657" s="602"/>
      <c r="H657" s="164" t="s">
        <v>12</v>
      </c>
      <c r="I657" s="616"/>
      <c r="J657" s="616"/>
      <c r="K657" s="92"/>
      <c r="L657" s="92">
        <f t="shared" ca="1" si="96"/>
        <v>11000</v>
      </c>
      <c r="M657" s="92">
        <f t="shared" ca="1" si="96"/>
        <v>6240.4</v>
      </c>
      <c r="N657" s="92">
        <f t="shared" si="96"/>
        <v>6240.4</v>
      </c>
      <c r="O657" s="92">
        <f t="shared" ca="1" si="94"/>
        <v>56.730909090909094</v>
      </c>
      <c r="P657" s="92">
        <f t="shared" ca="1" si="95"/>
        <v>100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8"/>
      <c r="H658" s="160" t="s">
        <v>12</v>
      </c>
      <c r="I658" s="183"/>
      <c r="J658" s="183"/>
      <c r="K658" s="162"/>
      <c r="L658" s="497">
        <f ca="1">L659+L660</f>
        <v>11000</v>
      </c>
      <c r="M658" s="497">
        <f ca="1">M659+M660</f>
        <v>6240.4</v>
      </c>
      <c r="N658" s="497">
        <f>N659+N660</f>
        <v>6240.4</v>
      </c>
      <c r="O658" s="497">
        <f t="shared" ca="1" si="94"/>
        <v>56.730909090909094</v>
      </c>
      <c r="P658" s="497">
        <f t="shared" ca="1" si="95"/>
        <v>100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184</v>
      </c>
      <c r="F659" s="758"/>
      <c r="G659" s="602"/>
      <c r="H659" s="164" t="s">
        <v>12</v>
      </c>
      <c r="I659" s="616"/>
      <c r="J659" s="616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185</v>
      </c>
      <c r="F660" s="758"/>
      <c r="G660" s="602"/>
      <c r="H660" s="164" t="s">
        <v>12</v>
      </c>
      <c r="I660" s="616"/>
      <c r="J660" s="616"/>
      <c r="K660" s="92"/>
      <c r="L660" s="92">
        <f ca="1">IFERROR(__xludf.DUMMYFUNCTION("IMPORTRANGE(""https://docs.google.com/spreadsheets/d/1QqKyyYR6Q21VydFLVH3TRQUabQu_ym0Zz7PgGX0-kHA/edit?usp=sharing"",""แผน!HV82"")"),11000)</f>
        <v>11000</v>
      </c>
      <c r="M660" s="92">
        <f ca="1">L660-4759.6</f>
        <v>6240.4</v>
      </c>
      <c r="N660" s="92">
        <f>N661+N662+N663+N664</f>
        <v>6240.4</v>
      </c>
      <c r="O660" s="92">
        <f t="shared" ca="1" si="94"/>
        <v>56.730909090909094</v>
      </c>
      <c r="P660" s="92">
        <f t="shared" ca="1" si="95"/>
        <v>100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826">
        <v>0</v>
      </c>
      <c r="O661" s="497"/>
      <c r="P661" s="497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826">
        <v>0</v>
      </c>
      <c r="O662" s="497"/>
      <c r="P662" s="497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826">
        <v>0</v>
      </c>
      <c r="O663" s="497"/>
      <c r="P663" s="497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826">
        <v>6240.4</v>
      </c>
      <c r="O664" s="497"/>
      <c r="P664" s="497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40" t="s">
        <v>38</v>
      </c>
      <c r="E668" s="760"/>
      <c r="F668" s="760"/>
      <c r="G668" s="612"/>
      <c r="H668" s="761"/>
      <c r="I668" s="183"/>
      <c r="J668" s="183"/>
      <c r="K668" s="162"/>
      <c r="L668" s="162"/>
      <c r="M668" s="162"/>
      <c r="N668" s="162"/>
      <c r="O668" s="162"/>
      <c r="P668" s="162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280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IFERROR(__xludf.DUMMYFUNCTION("IMPORTRANGE(""https://docs.google.com/spreadsheets/d/1QqKyyYR6Q21VydFLVH3TRQUabQu_ym0Zz7PgGX0-kHA/edit?usp=sharing"",""แผน!IA82"")"),50)</f>
        <v>50</v>
      </c>
      <c r="J669" s="680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281</v>
      </c>
      <c r="F670" s="625"/>
      <c r="G670" s="761"/>
      <c r="H670" s="763" t="s">
        <v>66</v>
      </c>
      <c r="I670" s="269">
        <f ca="1">IFERROR(__xludf.DUMMYFUNCTION("IMPORTRANGE(""https://docs.google.com/spreadsheets/d/1QqKyyYR6Q21VydFLVH3TRQUabQu_ym0Zz7PgGX0-kHA/edit?usp=sharing"",""แผน!HZ82"")"),5)</f>
        <v>5</v>
      </c>
      <c r="J670" s="214">
        <v>5</v>
      </c>
      <c r="K670" s="497">
        <f ca="1">IF(I670&gt;0,(J670*100)/I670,0)</f>
        <v>100</v>
      </c>
      <c r="L670" s="162"/>
      <c r="M670" s="162"/>
      <c r="N670" s="162"/>
      <c r="O670" s="162"/>
      <c r="P670" s="162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282</v>
      </c>
      <c r="F671" s="625"/>
      <c r="G671" s="761"/>
      <c r="H671" s="763" t="s">
        <v>66</v>
      </c>
      <c r="I671" s="269">
        <f ca="1">IFERROR(__xludf.DUMMYFUNCTION("IMPORTRANGE(""https://docs.google.com/spreadsheets/d/1QqKyyYR6Q21VydFLVH3TRQUabQu_ym0Zz7PgGX0-kHA/edit?usp=sharing"",""แผน!HZ82"")"),5)</f>
        <v>5</v>
      </c>
      <c r="J671" s="214">
        <v>5</v>
      </c>
      <c r="K671" s="497">
        <f ca="1">IF(I$671&gt;0,J671*100/I$671,0)</f>
        <v>100</v>
      </c>
      <c r="L671" s="162"/>
      <c r="M671" s="162"/>
      <c r="N671" s="162"/>
      <c r="O671" s="162"/>
      <c r="P671" s="162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283</v>
      </c>
      <c r="F672" s="625"/>
      <c r="G672" s="761"/>
      <c r="H672" s="763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284</v>
      </c>
      <c r="F673" s="625"/>
      <c r="G673" s="761"/>
      <c r="H673" s="763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285</v>
      </c>
      <c r="F674" s="625"/>
      <c r="G674" s="761"/>
      <c r="H674" s="763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286</v>
      </c>
      <c r="F675" s="625"/>
      <c r="G675" s="761"/>
      <c r="H675" s="763" t="s">
        <v>46</v>
      </c>
      <c r="I675" s="269"/>
      <c r="J675" s="680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287</v>
      </c>
      <c r="G676" s="761"/>
      <c r="H676" s="763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288</v>
      </c>
      <c r="G677" s="761"/>
      <c r="H677" s="763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289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IFERROR(__xludf.DUMMYFUNCTION("IMPORTRANGE(""https://docs.google.com/spreadsheets/d/1QqKyyYR6Q21VydFLVH3TRQUabQu_ym0Zz7PgGX0-kHA/edit?usp=sharing"",""แผน!IB82"")"),0)</f>
        <v>0</v>
      </c>
      <c r="J678" s="680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290</v>
      </c>
      <c r="F679" s="625"/>
      <c r="G679" s="761"/>
      <c r="H679" s="763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287</v>
      </c>
      <c r="G680" s="761"/>
      <c r="H680" s="763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288</v>
      </c>
      <c r="G681" s="761"/>
      <c r="H681" s="763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291</v>
      </c>
      <c r="F682" s="625"/>
      <c r="G682" s="761"/>
      <c r="H682" s="763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292</v>
      </c>
      <c r="G683" s="761"/>
      <c r="H683" s="763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293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87" t="s">
        <v>17</v>
      </c>
      <c r="E685" s="888"/>
      <c r="F685" s="888"/>
      <c r="G685" s="188"/>
      <c r="H685" s="597" t="s">
        <v>12</v>
      </c>
      <c r="I685" s="269"/>
      <c r="J685" s="269"/>
      <c r="K685" s="497"/>
      <c r="L685" s="194">
        <f ca="1">L686+L687</f>
        <v>0</v>
      </c>
      <c r="M685" s="194">
        <f>M686+M687</f>
        <v>0</v>
      </c>
      <c r="N685" s="194">
        <f>N686+N687</f>
        <v>0</v>
      </c>
      <c r="O685" s="194">
        <f ca="1">IF(L685&gt;0,N685*100/L685,0)</f>
        <v>0</v>
      </c>
      <c r="P685" s="194">
        <f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184</v>
      </c>
      <c r="F686" s="758"/>
      <c r="G686" s="602"/>
      <c r="H686" s="164" t="s">
        <v>12</v>
      </c>
      <c r="I686" s="616"/>
      <c r="J686" s="616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185</v>
      </c>
      <c r="F687" s="758"/>
      <c r="G687" s="602"/>
      <c r="H687" s="164" t="s">
        <v>12</v>
      </c>
      <c r="I687" s="616"/>
      <c r="J687" s="616"/>
      <c r="K687" s="92"/>
      <c r="L687" s="92">
        <f t="shared" ca="1" si="97"/>
        <v>0</v>
      </c>
      <c r="M687" s="92">
        <f t="shared" si="97"/>
        <v>0</v>
      </c>
      <c r="N687" s="92">
        <f t="shared" si="97"/>
        <v>0</v>
      </c>
      <c r="O687" s="92">
        <f ca="1">IF(L687&gt;0,N687*100/L687,0)</f>
        <v>0</v>
      </c>
      <c r="P687" s="92">
        <f>IF(M687&gt;0,N687*100/M687,0)</f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8"/>
      <c r="H688" s="160" t="s">
        <v>12</v>
      </c>
      <c r="I688" s="183"/>
      <c r="J688" s="183"/>
      <c r="K688" s="162"/>
      <c r="L688" s="497">
        <f ca="1">L689+L690</f>
        <v>0</v>
      </c>
      <c r="M688" s="497">
        <f>M689+M690</f>
        <v>0</v>
      </c>
      <c r="N688" s="497">
        <f>N689+N690</f>
        <v>0</v>
      </c>
      <c r="O688" s="497">
        <f ca="1">IF(L688&gt;0,N688*100/L688,0)</f>
        <v>0</v>
      </c>
      <c r="P688" s="497">
        <f>IF(M688&gt;0,N688*100/M688,0)</f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184</v>
      </c>
      <c r="F689" s="758"/>
      <c r="G689" s="602"/>
      <c r="H689" s="164" t="s">
        <v>12</v>
      </c>
      <c r="I689" s="616"/>
      <c r="J689" s="616"/>
      <c r="K689" s="92"/>
      <c r="L689" s="92">
        <v>0</v>
      </c>
      <c r="M689" s="92">
        <v>0</v>
      </c>
      <c r="N689" s="92">
        <v>0</v>
      </c>
      <c r="O689" s="92"/>
      <c r="P689" s="92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185</v>
      </c>
      <c r="F690" s="758"/>
      <c r="G690" s="602"/>
      <c r="H690" s="164" t="s">
        <v>12</v>
      </c>
      <c r="I690" s="616"/>
      <c r="J690" s="616"/>
      <c r="K690" s="92"/>
      <c r="L690" s="92">
        <f ca="1">IFERROR(__xludf.DUMMYFUNCTION("IMPORTRANGE(""https://docs.google.com/spreadsheets/d/1QqKyyYR6Q21VydFLVH3TRQUabQu_ym0Zz7PgGX0-kHA/edit?usp=sharing"",""แผน!HW82"")"),0)</f>
        <v>0</v>
      </c>
      <c r="M690" s="92">
        <v>0</v>
      </c>
      <c r="N690" s="92">
        <f>N691+N692+N693+N694</f>
        <v>0</v>
      </c>
      <c r="O690" s="92">
        <f ca="1">IF(L690&gt;0,N690*100/L690,0)</f>
        <v>0</v>
      </c>
      <c r="P690" s="92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826">
        <v>0</v>
      </c>
      <c r="O691" s="497"/>
      <c r="P691" s="497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826">
        <v>0</v>
      </c>
      <c r="O692" s="497"/>
      <c r="P692" s="497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826">
        <v>0</v>
      </c>
      <c r="O693" s="497"/>
      <c r="P693" s="497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826">
        <v>0</v>
      </c>
      <c r="O694" s="497"/>
      <c r="P694" s="497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38" t="s">
        <v>38</v>
      </c>
      <c r="E698" s="760"/>
      <c r="F698" s="760"/>
      <c r="G698" s="612"/>
      <c r="H698" s="761"/>
      <c r="I698" s="183"/>
      <c r="J698" s="183"/>
      <c r="K698" s="162"/>
      <c r="L698" s="162"/>
      <c r="M698" s="162"/>
      <c r="N698" s="162"/>
      <c r="O698" s="162"/>
      <c r="P698" s="162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294</v>
      </c>
      <c r="E699" s="762"/>
      <c r="F699" s="762"/>
      <c r="G699" s="188"/>
      <c r="H699" s="763" t="s">
        <v>46</v>
      </c>
      <c r="I699" s="764">
        <f ca="1">IFERROR(__xludf.DUMMYFUNCTION("IMPORTRANGE(""https://docs.google.com/spreadsheets/d/1QqKyyYR6Q21VydFLVH3TRQUabQu_ym0Zz7PgGX0-kHA/edit?usp=sharing"",""แผน!IC82"")"),0)</f>
        <v>0</v>
      </c>
      <c r="J699" s="269">
        <f ca="1">IFERROR(__xludf.DUMMYFUNCTION("IMPORTRANGE(""https://docs.google.com/spreadsheets/d/1XWAQStnk-4SwqDmLtmXYiTMKHgktTP8We1SCoS47DrQ/edit?usp=sharing"",""จัดที่ดิน!BB82"")"),0)</f>
        <v>0</v>
      </c>
      <c r="K699" s="497">
        <f ca="1">IF(I699&gt;0,J699*100/I699,0)</f>
        <v>0</v>
      </c>
      <c r="L699" s="497"/>
      <c r="M699" s="188"/>
      <c r="N699" s="765"/>
      <c r="O699" s="497"/>
      <c r="P699" s="497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295</v>
      </c>
      <c r="E700" s="762"/>
      <c r="F700" s="762"/>
      <c r="G700" s="188"/>
      <c r="H700" s="763" t="s">
        <v>35</v>
      </c>
      <c r="I700" s="764">
        <f ca="1">IFERROR(__xludf.DUMMYFUNCTION("IMPORTRANGE(""https://docs.google.com/spreadsheets/d/1QqKyyYR6Q21VydFLVH3TRQUabQu_ym0Zz7PgGX0-kHA/edit?usp=sharing"",""แผน!ID82"")"),0)</f>
        <v>0</v>
      </c>
      <c r="J700" s="269">
        <f ca="1">IFERROR(__xludf.DUMMYFUNCTION("IMPORTRANGE(""https://docs.google.com/spreadsheets/d/1XWAQStnk-4SwqDmLtmXYiTMKHgktTP8We1SCoS47DrQ/edit?usp=sharing"",""จัดที่ดิน!BD82"")"),0)</f>
        <v>0</v>
      </c>
      <c r="K700" s="497">
        <f ca="1">IF(I700&gt;0,J700*100/I700,0)</f>
        <v>0</v>
      </c>
      <c r="L700" s="497"/>
      <c r="M700" s="188"/>
      <c r="N700" s="765"/>
      <c r="O700" s="497"/>
      <c r="P700" s="497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296</v>
      </c>
      <c r="E701" s="762"/>
      <c r="F701" s="762"/>
      <c r="G701" s="188"/>
      <c r="H701" s="766" t="s">
        <v>46</v>
      </c>
      <c r="I701" s="767">
        <f ca="1">IFERROR(__xludf.DUMMYFUNCTION("IMPORTRANGE(""https://docs.google.com/spreadsheets/d/1QqKyyYR6Q21VydFLVH3TRQUabQu_ym0Zz7PgGX0-kHA/edit?usp=sharing"",""แผน!IE82"")"),0)</f>
        <v>0</v>
      </c>
      <c r="J701" s="680">
        <f>J704+J707</f>
        <v>0</v>
      </c>
      <c r="K701" s="194">
        <f ca="1">IF(I701&gt;0,J701*100/I701,0)</f>
        <v>0</v>
      </c>
      <c r="L701" s="497"/>
      <c r="M701" s="188"/>
      <c r="N701" s="765"/>
      <c r="O701" s="497"/>
      <c r="P701" s="497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297</v>
      </c>
      <c r="F702" s="762"/>
      <c r="G702" s="188"/>
      <c r="H702" s="763" t="s">
        <v>35</v>
      </c>
      <c r="I702" s="764"/>
      <c r="J702" s="214">
        <v>0</v>
      </c>
      <c r="K702" s="497"/>
      <c r="L702" s="497"/>
      <c r="M702" s="188"/>
      <c r="N702" s="765"/>
      <c r="O702" s="497"/>
      <c r="P702" s="497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8"/>
      <c r="H703" s="763" t="s">
        <v>34</v>
      </c>
      <c r="I703" s="764"/>
      <c r="J703" s="214">
        <v>0</v>
      </c>
      <c r="K703" s="497"/>
      <c r="L703" s="497"/>
      <c r="M703" s="188"/>
      <c r="N703" s="765"/>
      <c r="O703" s="497"/>
      <c r="P703" s="497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8"/>
      <c r="H704" s="763" t="s">
        <v>46</v>
      </c>
      <c r="I704" s="764">
        <f ca="1">IFERROR(__xludf.DUMMYFUNCTION("IMPORTRANGE(""https://docs.google.com/spreadsheets/d/1QqKyyYR6Q21VydFLVH3TRQUabQu_ym0Zz7PgGX0-kHA/edit?usp=sharing"",""แผน!IF82"")"),0)</f>
        <v>0</v>
      </c>
      <c r="J704" s="214">
        <v>0</v>
      </c>
      <c r="K704" s="497"/>
      <c r="L704" s="497"/>
      <c r="M704" s="188"/>
      <c r="N704" s="765"/>
      <c r="O704" s="497"/>
      <c r="P704" s="497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298</v>
      </c>
      <c r="F705" s="762"/>
      <c r="G705" s="188"/>
      <c r="H705" s="763" t="s">
        <v>35</v>
      </c>
      <c r="I705" s="764"/>
      <c r="J705" s="214">
        <v>0</v>
      </c>
      <c r="K705" s="497"/>
      <c r="L705" s="497"/>
      <c r="M705" s="188"/>
      <c r="N705" s="765"/>
      <c r="O705" s="497"/>
      <c r="P705" s="497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8"/>
      <c r="H706" s="763" t="s">
        <v>34</v>
      </c>
      <c r="I706" s="764"/>
      <c r="J706" s="214">
        <v>0</v>
      </c>
      <c r="K706" s="497"/>
      <c r="L706" s="497"/>
      <c r="M706" s="188"/>
      <c r="N706" s="765"/>
      <c r="O706" s="497"/>
      <c r="P706" s="497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8"/>
      <c r="H707" s="763" t="s">
        <v>46</v>
      </c>
      <c r="I707" s="764">
        <f ca="1">IFERROR(__xludf.DUMMYFUNCTION("IMPORTRANGE(""https://docs.google.com/spreadsheets/d/1QqKyyYR6Q21VydFLVH3TRQUabQu_ym0Zz7PgGX0-kHA/edit?usp=sharing"",""แผน!IG82"")"),0)</f>
        <v>0</v>
      </c>
      <c r="J707" s="214">
        <v>0</v>
      </c>
      <c r="K707" s="497"/>
      <c r="L707" s="497"/>
      <c r="M707" s="188"/>
      <c r="N707" s="765"/>
      <c r="O707" s="497"/>
      <c r="P707" s="497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299</v>
      </c>
      <c r="E708" s="762"/>
      <c r="F708" s="762"/>
      <c r="G708" s="188"/>
      <c r="H708" s="766" t="s">
        <v>46</v>
      </c>
      <c r="I708" s="767">
        <f ca="1">IFERROR(__xludf.DUMMYFUNCTION("IMPORTRANGE(""https://docs.google.com/spreadsheets/d/1QqKyyYR6Q21VydFLVH3TRQUabQu_ym0Zz7PgGX0-kHA/edit?usp=sharing"",""แผน!IH82"")"),0)</f>
        <v>0</v>
      </c>
      <c r="J708" s="680">
        <f>J714+J717</f>
        <v>0</v>
      </c>
      <c r="K708" s="194">
        <f ca="1">IF(I708&gt;0,J708*100/I708,0)</f>
        <v>0</v>
      </c>
      <c r="L708" s="497"/>
      <c r="M708" s="188"/>
      <c r="N708" s="765"/>
      <c r="O708" s="497"/>
      <c r="P708" s="497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300</v>
      </c>
      <c r="F709" s="762"/>
      <c r="G709" s="188"/>
      <c r="H709" s="763" t="s">
        <v>34</v>
      </c>
      <c r="I709" s="764"/>
      <c r="J709" s="214">
        <v>0</v>
      </c>
      <c r="K709" s="497"/>
      <c r="L709" s="765"/>
      <c r="M709" s="188"/>
      <c r="N709" s="765"/>
      <c r="O709" s="497"/>
      <c r="P709" s="497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8"/>
      <c r="H710" s="763" t="s">
        <v>46</v>
      </c>
      <c r="I710" s="764"/>
      <c r="J710" s="214">
        <v>0</v>
      </c>
      <c r="K710" s="497"/>
      <c r="L710" s="765"/>
      <c r="M710" s="188"/>
      <c r="N710" s="765"/>
      <c r="O710" s="497"/>
      <c r="P710" s="497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301</v>
      </c>
      <c r="F711" s="762"/>
      <c r="G711" s="188"/>
      <c r="H711" s="761"/>
      <c r="I711" s="764"/>
      <c r="J711" s="269"/>
      <c r="K711" s="497"/>
      <c r="L711" s="765"/>
      <c r="M711" s="188"/>
      <c r="N711" s="765"/>
      <c r="O711" s="497"/>
      <c r="P711" s="497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302</v>
      </c>
      <c r="G712" s="188"/>
      <c r="H712" s="763" t="s">
        <v>35</v>
      </c>
      <c r="I712" s="764"/>
      <c r="J712" s="214">
        <v>0</v>
      </c>
      <c r="K712" s="497"/>
      <c r="L712" s="765"/>
      <c r="M712" s="188"/>
      <c r="N712" s="765"/>
      <c r="O712" s="497"/>
      <c r="P712" s="497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8"/>
      <c r="H713" s="763" t="s">
        <v>34</v>
      </c>
      <c r="I713" s="764"/>
      <c r="J713" s="214">
        <v>0</v>
      </c>
      <c r="K713" s="497"/>
      <c r="L713" s="765"/>
      <c r="M713" s="188"/>
      <c r="N713" s="765"/>
      <c r="O713" s="497"/>
      <c r="P713" s="497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8"/>
      <c r="H714" s="763" t="s">
        <v>46</v>
      </c>
      <c r="I714" s="764"/>
      <c r="J714" s="214">
        <v>0</v>
      </c>
      <c r="K714" s="497"/>
      <c r="L714" s="765"/>
      <c r="M714" s="188"/>
      <c r="N714" s="765"/>
      <c r="O714" s="497"/>
      <c r="P714" s="497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303</v>
      </c>
      <c r="G715" s="188"/>
      <c r="H715" s="763" t="s">
        <v>35</v>
      </c>
      <c r="I715" s="764"/>
      <c r="J715" s="214">
        <v>0</v>
      </c>
      <c r="K715" s="497"/>
      <c r="L715" s="765"/>
      <c r="M715" s="188"/>
      <c r="N715" s="765"/>
      <c r="O715" s="497"/>
      <c r="P715" s="497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8"/>
      <c r="H716" s="763" t="s">
        <v>34</v>
      </c>
      <c r="I716" s="764"/>
      <c r="J716" s="214">
        <v>0</v>
      </c>
      <c r="K716" s="497"/>
      <c r="L716" s="765"/>
      <c r="M716" s="188"/>
      <c r="N716" s="765"/>
      <c r="O716" s="497"/>
      <c r="P716" s="497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8"/>
      <c r="H717" s="763" t="s">
        <v>46</v>
      </c>
      <c r="I717" s="764"/>
      <c r="J717" s="214">
        <v>0</v>
      </c>
      <c r="K717" s="497"/>
      <c r="L717" s="765"/>
      <c r="M717" s="188"/>
      <c r="N717" s="765"/>
      <c r="O717" s="497"/>
      <c r="P717" s="497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304</v>
      </c>
      <c r="E718" s="762"/>
      <c r="F718" s="762"/>
      <c r="G718" s="188"/>
      <c r="H718" s="763" t="s">
        <v>35</v>
      </c>
      <c r="I718" s="764"/>
      <c r="J718" s="269">
        <f ca="1">IFERROR(__xludf.DUMMYFUNCTION("IMPORTRANGE(""https://docs.google.com/spreadsheets/d/1XWAQStnk-4SwqDmLtmXYiTMKHgktTP8We1SCoS47DrQ/edit?usp=sharing"",""จัดที่ดิน!BF82"")"),0)</f>
        <v>0</v>
      </c>
      <c r="K718" s="497"/>
      <c r="L718" s="497"/>
      <c r="M718" s="188"/>
      <c r="N718" s="765"/>
      <c r="O718" s="497"/>
      <c r="P718" s="497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8"/>
      <c r="H719" s="763" t="s">
        <v>34</v>
      </c>
      <c r="I719" s="764"/>
      <c r="J719" s="269">
        <f ca="1">IFERROR(__xludf.DUMMYFUNCTION("IMPORTRANGE(""https://docs.google.com/spreadsheets/d/1XWAQStnk-4SwqDmLtmXYiTMKHgktTP8We1SCoS47DrQ/edit?usp=sharing"",""จัดที่ดิน!BG82"")"),0)</f>
        <v>0</v>
      </c>
      <c r="K719" s="497"/>
      <c r="L719" s="765"/>
      <c r="M719" s="188"/>
      <c r="N719" s="765"/>
      <c r="O719" s="497"/>
      <c r="P719" s="497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8"/>
      <c r="H720" s="763" t="s">
        <v>46</v>
      </c>
      <c r="I720" s="764">
        <f ca="1">IFERROR(__xludf.DUMMYFUNCTION("IMPORTRANGE(""https://docs.google.com/spreadsheets/d/1QqKyyYR6Q21VydFLVH3TRQUabQu_ym0Zz7PgGX0-kHA/edit?usp=sharing"",""แผน!II82"")"),0)</f>
        <v>0</v>
      </c>
      <c r="J720" s="269">
        <f ca="1">IFERROR(__xludf.DUMMYFUNCTION("IMPORTRANGE(""https://docs.google.com/spreadsheets/d/1XWAQStnk-4SwqDmLtmXYiTMKHgktTP8We1SCoS47DrQ/edit?usp=sharing"",""จัดที่ดิน!BH82"")"),0)</f>
        <v>0</v>
      </c>
      <c r="K720" s="497">
        <f ca="1">IF(I720&gt;0,J720*100/I720,0)</f>
        <v>0</v>
      </c>
      <c r="L720" s="765"/>
      <c r="M720" s="188"/>
      <c r="N720" s="765"/>
      <c r="O720" s="497"/>
      <c r="P720" s="497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305</v>
      </c>
      <c r="E721" s="762"/>
      <c r="F721" s="762"/>
      <c r="G721" s="188"/>
      <c r="H721" s="766" t="s">
        <v>35</v>
      </c>
      <c r="I721" s="767">
        <f ca="1">IFERROR(__xludf.DUMMYFUNCTION("IMPORTRANGE(""https://docs.google.com/spreadsheets/d/1QqKyyYR6Q21VydFLVH3TRQUabQu_ym0Zz7PgGX0-kHA/edit?usp=sharing"",""แผน!IJ82"")"),0)</f>
        <v>0</v>
      </c>
      <c r="J721" s="680">
        <f ca="1">J723+J726</f>
        <v>0</v>
      </c>
      <c r="K721" s="194">
        <f ca="1">IF(I721&gt;0,J721*100/I721,0)</f>
        <v>0</v>
      </c>
      <c r="L721" s="765"/>
      <c r="M721" s="188"/>
      <c r="N721" s="765"/>
      <c r="O721" s="497"/>
      <c r="P721" s="497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8"/>
      <c r="H722" s="766" t="s">
        <v>46</v>
      </c>
      <c r="I722" s="767">
        <f ca="1">IFERROR(__xludf.DUMMYFUNCTION("IMPORTRANGE(""https://docs.google.com/spreadsheets/d/1QqKyyYR6Q21VydFLVH3TRQUabQu_ym0Zz7PgGX0-kHA/edit?usp=sharing"",""แผน!IK82"")"),0)</f>
        <v>0</v>
      </c>
      <c r="J722" s="680">
        <f ca="1">J725+J728</f>
        <v>0</v>
      </c>
      <c r="K722" s="194">
        <f ca="1">IF(I722&gt;0,J722*100/I722,0)</f>
        <v>0</v>
      </c>
      <c r="L722" s="497"/>
      <c r="M722" s="188"/>
      <c r="N722" s="765"/>
      <c r="O722" s="497"/>
      <c r="P722" s="497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306</v>
      </c>
      <c r="F723" s="762"/>
      <c r="G723" s="188"/>
      <c r="H723" s="763" t="s">
        <v>35</v>
      </c>
      <c r="I723" s="764">
        <f ca="1">IFERROR(__xludf.DUMMYFUNCTION("IMPORTRANGE(""https://docs.google.com/spreadsheets/d/1QqKyyYR6Q21VydFLVH3TRQUabQu_ym0Zz7PgGX0-kHA/edit?usp=sharing"",""แผน!IL82"")"),0)</f>
        <v>0</v>
      </c>
      <c r="J723" s="269">
        <f ca="1">IFERROR(__xludf.DUMMYFUNCTION("IMPORTRANGE(""https://docs.google.com/spreadsheets/d/1XWAQStnk-4SwqDmLtmXYiTMKHgktTP8We1SCoS47DrQ/edit?usp=sharing"",""จัดที่ดิน!BM82"")"),0)</f>
        <v>0</v>
      </c>
      <c r="K723" s="497">
        <f ca="1">IF(I723&gt;0,J723*100/I723,0)</f>
        <v>0</v>
      </c>
      <c r="L723" s="497"/>
      <c r="M723" s="188"/>
      <c r="N723" s="765"/>
      <c r="O723" s="497"/>
      <c r="P723" s="497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8"/>
      <c r="H724" s="763" t="s">
        <v>34</v>
      </c>
      <c r="I724" s="764"/>
      <c r="J724" s="269">
        <f ca="1">IFERROR(__xludf.DUMMYFUNCTION("IMPORTRANGE(""https://docs.google.com/spreadsheets/d/1XWAQStnk-4SwqDmLtmXYiTMKHgktTP8We1SCoS47DrQ/edit?usp=sharing"",""จัดที่ดิน!BN82"")"),0)</f>
        <v>0</v>
      </c>
      <c r="K724" s="497"/>
      <c r="L724" s="765"/>
      <c r="M724" s="188"/>
      <c r="N724" s="765"/>
      <c r="O724" s="497"/>
      <c r="P724" s="497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8"/>
      <c r="H725" s="763" t="s">
        <v>46</v>
      </c>
      <c r="I725" s="764">
        <f ca="1">IFERROR(__xludf.DUMMYFUNCTION("IMPORTRANGE(""https://docs.google.com/spreadsheets/d/1QqKyyYR6Q21VydFLVH3TRQUabQu_ym0Zz7PgGX0-kHA/edit?usp=sharing"",""แผน!IM82"")"),0)</f>
        <v>0</v>
      </c>
      <c r="J725" s="269">
        <f ca="1">IFERROR(__xludf.DUMMYFUNCTION("IMPORTRANGE(""https://docs.google.com/spreadsheets/d/1XWAQStnk-4SwqDmLtmXYiTMKHgktTP8We1SCoS47DrQ/edit?usp=sharing"",""จัดที่ดิน!BO82"")"),0)</f>
        <v>0</v>
      </c>
      <c r="K725" s="497">
        <f ca="1">IF(I725&gt;0,J725*100/I725,0)</f>
        <v>0</v>
      </c>
      <c r="L725" s="765"/>
      <c r="M725" s="188"/>
      <c r="N725" s="765"/>
      <c r="O725" s="497"/>
      <c r="P725" s="497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307</v>
      </c>
      <c r="F726" s="762"/>
      <c r="G726" s="188"/>
      <c r="H726" s="763" t="s">
        <v>35</v>
      </c>
      <c r="I726" s="764">
        <f ca="1">IFERROR(__xludf.DUMMYFUNCTION("IMPORTRANGE(""https://docs.google.com/spreadsheets/d/1QqKyyYR6Q21VydFLVH3TRQUabQu_ym0Zz7PgGX0-kHA/edit?usp=sharing"",""แผน!IN82"")"),0)</f>
        <v>0</v>
      </c>
      <c r="J726" s="269">
        <f ca="1">IFERROR(__xludf.DUMMYFUNCTION("IMPORTRANGE(""https://docs.google.com/spreadsheets/d/1XWAQStnk-4SwqDmLtmXYiTMKHgktTP8We1SCoS47DrQ/edit?usp=sharing"",""จัดที่ดิน!BR82"")"),0)</f>
        <v>0</v>
      </c>
      <c r="K726" s="497">
        <f ca="1">IF(I726&gt;0,J726*100/I726,0)</f>
        <v>0</v>
      </c>
      <c r="L726" s="497"/>
      <c r="M726" s="188"/>
      <c r="N726" s="765"/>
      <c r="O726" s="497"/>
      <c r="P726" s="497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8"/>
      <c r="H727" s="763" t="s">
        <v>34</v>
      </c>
      <c r="I727" s="764"/>
      <c r="J727" s="269">
        <f ca="1">IFERROR(__xludf.DUMMYFUNCTION("IMPORTRANGE(""https://docs.google.com/spreadsheets/d/1XWAQStnk-4SwqDmLtmXYiTMKHgktTP8We1SCoS47DrQ/edit?usp=sharing"",""จัดที่ดิน!BS82"")"),0)</f>
        <v>0</v>
      </c>
      <c r="K727" s="497"/>
      <c r="L727" s="765"/>
      <c r="M727" s="188"/>
      <c r="N727" s="765"/>
      <c r="O727" s="497"/>
      <c r="P727" s="497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8"/>
      <c r="H728" s="763" t="s">
        <v>46</v>
      </c>
      <c r="I728" s="764">
        <f ca="1">IFERROR(__xludf.DUMMYFUNCTION("IMPORTRANGE(""https://docs.google.com/spreadsheets/d/1QqKyyYR6Q21VydFLVH3TRQUabQu_ym0Zz7PgGX0-kHA/edit?usp=sharing"",""แผน!IO82"")"),0)</f>
        <v>0</v>
      </c>
      <c r="J728" s="269">
        <f ca="1">IFERROR(__xludf.DUMMYFUNCTION("IMPORTRANGE(""https://docs.google.com/spreadsheets/d/1XWAQStnk-4SwqDmLtmXYiTMKHgktTP8We1SCoS47DrQ/edit?usp=sharing"",""จัดที่ดิน!BT82"")"),0)</f>
        <v>0</v>
      </c>
      <c r="K728" s="497">
        <f ca="1">IF(I728&gt;0,J728*100/I728,0)</f>
        <v>0</v>
      </c>
      <c r="L728" s="765"/>
      <c r="M728" s="188"/>
      <c r="N728" s="765"/>
      <c r="O728" s="497"/>
      <c r="P728" s="497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308</v>
      </c>
      <c r="E729" s="762"/>
      <c r="F729" s="762"/>
      <c r="G729" s="188"/>
      <c r="H729" s="766" t="s">
        <v>46</v>
      </c>
      <c r="I729" s="767">
        <f ca="1">IFERROR(__xludf.DUMMYFUNCTION("IMPORTRANGE(""https://docs.google.com/spreadsheets/d/1QqKyyYR6Q21VydFLVH3TRQUabQu_ym0Zz7PgGX0-kHA/edit?usp=sharing"",""แผน!IP82"")"),0)</f>
        <v>0</v>
      </c>
      <c r="J729" s="680">
        <f>J732+J735</f>
        <v>0</v>
      </c>
      <c r="K729" s="194">
        <f ca="1">IF(I729&gt;0,J729*100/I729,0)</f>
        <v>0</v>
      </c>
      <c r="L729" s="497"/>
      <c r="M729" s="188"/>
      <c r="N729" s="765"/>
      <c r="O729" s="497"/>
      <c r="P729" s="497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309</v>
      </c>
      <c r="F730" s="762"/>
      <c r="G730" s="188"/>
      <c r="H730" s="763" t="s">
        <v>35</v>
      </c>
      <c r="I730" s="764"/>
      <c r="J730" s="214">
        <v>0</v>
      </c>
      <c r="K730" s="497"/>
      <c r="L730" s="765"/>
      <c r="M730" s="497"/>
      <c r="N730" s="765"/>
      <c r="O730" s="497"/>
      <c r="P730" s="497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8"/>
      <c r="H731" s="763" t="s">
        <v>34</v>
      </c>
      <c r="I731" s="764"/>
      <c r="J731" s="214">
        <v>0</v>
      </c>
      <c r="K731" s="497"/>
      <c r="L731" s="765"/>
      <c r="M731" s="497"/>
      <c r="N731" s="765"/>
      <c r="O731" s="497"/>
      <c r="P731" s="497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8"/>
      <c r="H732" s="763" t="s">
        <v>46</v>
      </c>
      <c r="I732" s="764"/>
      <c r="J732" s="214">
        <v>0</v>
      </c>
      <c r="K732" s="497"/>
      <c r="L732" s="765"/>
      <c r="M732" s="497"/>
      <c r="N732" s="765"/>
      <c r="O732" s="497"/>
      <c r="P732" s="497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310</v>
      </c>
      <c r="F733" s="762"/>
      <c r="G733" s="188"/>
      <c r="H733" s="763" t="s">
        <v>35</v>
      </c>
      <c r="I733" s="764"/>
      <c r="J733" s="214">
        <v>0</v>
      </c>
      <c r="K733" s="497"/>
      <c r="L733" s="765"/>
      <c r="M733" s="497"/>
      <c r="N733" s="765"/>
      <c r="O733" s="497"/>
      <c r="P733" s="497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8"/>
      <c r="H734" s="763" t="s">
        <v>34</v>
      </c>
      <c r="I734" s="764"/>
      <c r="J734" s="214">
        <v>0</v>
      </c>
      <c r="K734" s="497"/>
      <c r="L734" s="765"/>
      <c r="M734" s="497"/>
      <c r="N734" s="765"/>
      <c r="O734" s="497"/>
      <c r="P734" s="497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311</v>
      </c>
      <c r="C735" s="733"/>
      <c r="D735" s="733"/>
      <c r="E735" s="733"/>
      <c r="F735" s="733"/>
      <c r="G735" s="734"/>
      <c r="H735" s="422" t="s">
        <v>46</v>
      </c>
      <c r="I735" s="771"/>
      <c r="J735" s="424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312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92" t="s">
        <v>17</v>
      </c>
      <c r="E737" s="888"/>
      <c r="F737" s="888"/>
      <c r="G737" s="602"/>
      <c r="H737" s="645" t="s">
        <v>12</v>
      </c>
      <c r="I737" s="616"/>
      <c r="J737" s="616"/>
      <c r="K737" s="92"/>
      <c r="L737" s="646">
        <f>L738+L739</f>
        <v>0</v>
      </c>
      <c r="M737" s="646">
        <f>M738+M739</f>
        <v>0</v>
      </c>
      <c r="N737" s="646">
        <f>N738+N739</f>
        <v>0</v>
      </c>
      <c r="O737" s="646">
        <f t="shared" ref="O737:O742" si="98">IF(L737&gt;0,N737*100/L737,0)</f>
        <v>0</v>
      </c>
      <c r="P737" s="646">
        <f t="shared" ref="P737:P742" si="99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184</v>
      </c>
      <c r="F738" s="758"/>
      <c r="G738" s="602"/>
      <c r="H738" s="164" t="s">
        <v>12</v>
      </c>
      <c r="I738" s="616"/>
      <c r="J738" s="616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185</v>
      </c>
      <c r="F739" s="758"/>
      <c r="G739" s="602"/>
      <c r="H739" s="164" t="s">
        <v>12</v>
      </c>
      <c r="I739" s="616"/>
      <c r="J739" s="616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5"/>
      <c r="J740" s="165"/>
      <c r="K740" s="166"/>
      <c r="L740" s="646">
        <f>L741+L742</f>
        <v>0</v>
      </c>
      <c r="M740" s="646">
        <f>M741+M742</f>
        <v>0</v>
      </c>
      <c r="N740" s="646">
        <f>N741+N742</f>
        <v>0</v>
      </c>
      <c r="O740" s="646">
        <f t="shared" si="98"/>
        <v>0</v>
      </c>
      <c r="P740" s="646">
        <f t="shared" si="99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184</v>
      </c>
      <c r="F741" s="758"/>
      <c r="G741" s="602"/>
      <c r="H741" s="164" t="s">
        <v>12</v>
      </c>
      <c r="I741" s="616"/>
      <c r="J741" s="616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185</v>
      </c>
      <c r="F742" s="758"/>
      <c r="G742" s="602"/>
      <c r="H742" s="164" t="s">
        <v>12</v>
      </c>
      <c r="I742" s="616"/>
      <c r="J742" s="616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186</v>
      </c>
      <c r="G743" s="602"/>
      <c r="H743" s="164" t="s">
        <v>12</v>
      </c>
      <c r="I743" s="616"/>
      <c r="J743" s="616"/>
      <c r="K743" s="92"/>
      <c r="L743" s="92"/>
      <c r="M743" s="92"/>
      <c r="N743" s="92"/>
      <c r="O743" s="92"/>
      <c r="P743" s="92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187</v>
      </c>
      <c r="G744" s="602"/>
      <c r="H744" s="164" t="s">
        <v>12</v>
      </c>
      <c r="I744" s="616"/>
      <c r="J744" s="616"/>
      <c r="K744" s="92"/>
      <c r="L744" s="92"/>
      <c r="M744" s="92"/>
      <c r="N744" s="92"/>
      <c r="O744" s="92"/>
      <c r="P744" s="92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188</v>
      </c>
      <c r="G745" s="602"/>
      <c r="H745" s="164" t="s">
        <v>12</v>
      </c>
      <c r="I745" s="616"/>
      <c r="J745" s="616"/>
      <c r="K745" s="92"/>
      <c r="L745" s="92"/>
      <c r="M745" s="92"/>
      <c r="N745" s="92"/>
      <c r="O745" s="92"/>
      <c r="P745" s="92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189</v>
      </c>
      <c r="G746" s="602"/>
      <c r="H746" s="164" t="s">
        <v>12</v>
      </c>
      <c r="I746" s="616"/>
      <c r="J746" s="616"/>
      <c r="K746" s="92"/>
      <c r="L746" s="92"/>
      <c r="M746" s="92"/>
      <c r="N746" s="92"/>
      <c r="O746" s="92"/>
      <c r="P746" s="92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5"/>
      <c r="J747" s="165"/>
      <c r="K747" s="166"/>
      <c r="L747" s="646">
        <f>L748+L749</f>
        <v>0</v>
      </c>
      <c r="M747" s="646">
        <f>M748+M749</f>
        <v>0</v>
      </c>
      <c r="N747" s="646">
        <f>N748+N749</f>
        <v>0</v>
      </c>
      <c r="O747" s="646">
        <f>IF(L747&gt;0,N747*100/L747,0)</f>
        <v>0</v>
      </c>
      <c r="P747" s="646">
        <f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39" t="s">
        <v>38</v>
      </c>
      <c r="E750" s="650"/>
      <c r="F750" s="650"/>
      <c r="G750" s="651"/>
      <c r="H750" s="365"/>
      <c r="I750" s="165"/>
      <c r="J750" s="165"/>
      <c r="K750" s="166"/>
      <c r="L750" s="166"/>
      <c r="M750" s="166"/>
      <c r="N750" s="166"/>
      <c r="O750" s="166"/>
      <c r="P750" s="166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313</v>
      </c>
      <c r="F751" s="758"/>
      <c r="G751" s="602"/>
      <c r="H751" s="164" t="s">
        <v>46</v>
      </c>
      <c r="I751" s="616"/>
      <c r="J751" s="616"/>
      <c r="K751" s="92"/>
      <c r="L751" s="92"/>
      <c r="M751" s="92"/>
      <c r="N751" s="92"/>
      <c r="O751" s="92"/>
      <c r="P751" s="92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4" t="s">
        <v>314</v>
      </c>
      <c r="I752" s="616"/>
      <c r="J752" s="616"/>
      <c r="K752" s="92"/>
      <c r="L752" s="92"/>
      <c r="M752" s="92"/>
      <c r="N752" s="92"/>
      <c r="O752" s="92"/>
      <c r="P752" s="92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315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92" t="s">
        <v>17</v>
      </c>
      <c r="E754" s="888"/>
      <c r="F754" s="888"/>
      <c r="G754" s="602"/>
      <c r="H754" s="645" t="s">
        <v>12</v>
      </c>
      <c r="I754" s="616"/>
      <c r="J754" s="616"/>
      <c r="K754" s="92"/>
      <c r="L754" s="646">
        <f>L755+L756</f>
        <v>0</v>
      </c>
      <c r="M754" s="646">
        <f>M755+M756</f>
        <v>0</v>
      </c>
      <c r="N754" s="646">
        <f>N755+N756</f>
        <v>0</v>
      </c>
      <c r="O754" s="646">
        <f t="shared" ref="O754:O759" si="101">IF(L754&gt;0,N754*100/L754,0)</f>
        <v>0</v>
      </c>
      <c r="P754" s="646">
        <f t="shared" ref="P754:P759" si="102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184</v>
      </c>
      <c r="F755" s="758"/>
      <c r="G755" s="602"/>
      <c r="H755" s="164" t="s">
        <v>12</v>
      </c>
      <c r="I755" s="616"/>
      <c r="J755" s="616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185</v>
      </c>
      <c r="F756" s="758"/>
      <c r="G756" s="602"/>
      <c r="H756" s="164" t="s">
        <v>12</v>
      </c>
      <c r="I756" s="616"/>
      <c r="J756" s="616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5"/>
      <c r="J757" s="165"/>
      <c r="K757" s="166"/>
      <c r="L757" s="646">
        <f>L758+L759</f>
        <v>0</v>
      </c>
      <c r="M757" s="646">
        <f>M758+M759</f>
        <v>0</v>
      </c>
      <c r="N757" s="646">
        <f>N758+N759</f>
        <v>0</v>
      </c>
      <c r="O757" s="646">
        <f t="shared" si="101"/>
        <v>0</v>
      </c>
      <c r="P757" s="646">
        <f t="shared" si="102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184</v>
      </c>
      <c r="F758" s="758"/>
      <c r="G758" s="602"/>
      <c r="H758" s="164" t="s">
        <v>12</v>
      </c>
      <c r="I758" s="616"/>
      <c r="J758" s="616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185</v>
      </c>
      <c r="F759" s="758"/>
      <c r="G759" s="602"/>
      <c r="H759" s="164" t="s">
        <v>12</v>
      </c>
      <c r="I759" s="616"/>
      <c r="J759" s="616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186</v>
      </c>
      <c r="G760" s="602"/>
      <c r="H760" s="164" t="s">
        <v>12</v>
      </c>
      <c r="I760" s="616"/>
      <c r="J760" s="616"/>
      <c r="K760" s="92"/>
      <c r="L760" s="92"/>
      <c r="M760" s="92"/>
      <c r="N760" s="92"/>
      <c r="O760" s="92"/>
      <c r="P760" s="92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187</v>
      </c>
      <c r="G761" s="602"/>
      <c r="H761" s="164" t="s">
        <v>12</v>
      </c>
      <c r="I761" s="616"/>
      <c r="J761" s="616"/>
      <c r="K761" s="92"/>
      <c r="L761" s="92"/>
      <c r="M761" s="92"/>
      <c r="N761" s="92"/>
      <c r="O761" s="92"/>
      <c r="P761" s="92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188</v>
      </c>
      <c r="G762" s="602"/>
      <c r="H762" s="164" t="s">
        <v>12</v>
      </c>
      <c r="I762" s="616"/>
      <c r="J762" s="616"/>
      <c r="K762" s="92"/>
      <c r="L762" s="92"/>
      <c r="M762" s="92"/>
      <c r="N762" s="92"/>
      <c r="O762" s="92"/>
      <c r="P762" s="92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189</v>
      </c>
      <c r="G763" s="602"/>
      <c r="H763" s="164" t="s">
        <v>12</v>
      </c>
      <c r="I763" s="616"/>
      <c r="J763" s="616"/>
      <c r="K763" s="92"/>
      <c r="L763" s="92"/>
      <c r="M763" s="92"/>
      <c r="N763" s="92"/>
      <c r="O763" s="92"/>
      <c r="P763" s="92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5"/>
      <c r="J764" s="165"/>
      <c r="K764" s="166"/>
      <c r="L764" s="646">
        <f>L765+L766</f>
        <v>0</v>
      </c>
      <c r="M764" s="646">
        <f>M765+M766</f>
        <v>0</v>
      </c>
      <c r="N764" s="646">
        <f>N765+N766</f>
        <v>0</v>
      </c>
      <c r="O764" s="646">
        <f>IF(L764&gt;0,N764*100/L764,0)</f>
        <v>0</v>
      </c>
      <c r="P764" s="646">
        <f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39" t="s">
        <v>38</v>
      </c>
      <c r="E767" s="650"/>
      <c r="F767" s="650"/>
      <c r="G767" s="651"/>
      <c r="H767" s="365"/>
      <c r="I767" s="165"/>
      <c r="J767" s="165"/>
      <c r="K767" s="166"/>
      <c r="L767" s="166"/>
      <c r="M767" s="166"/>
      <c r="N767" s="166"/>
      <c r="O767" s="166"/>
      <c r="P767" s="166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316</v>
      </c>
      <c r="F768" s="758"/>
      <c r="G768" s="602"/>
      <c r="H768" s="164" t="s">
        <v>46</v>
      </c>
      <c r="I768" s="616"/>
      <c r="J768" s="616"/>
      <c r="K768" s="92"/>
      <c r="L768" s="92"/>
      <c r="M768" s="92"/>
      <c r="N768" s="92"/>
      <c r="O768" s="92"/>
      <c r="P768" s="92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317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92" t="s">
        <v>17</v>
      </c>
      <c r="E770" s="888"/>
      <c r="F770" s="888"/>
      <c r="G770" s="602"/>
      <c r="H770" s="645" t="s">
        <v>12</v>
      </c>
      <c r="I770" s="616"/>
      <c r="J770" s="616"/>
      <c r="K770" s="92"/>
      <c r="L770" s="646">
        <f>L771+L772</f>
        <v>0</v>
      </c>
      <c r="M770" s="646">
        <f>M771+M772</f>
        <v>0</v>
      </c>
      <c r="N770" s="646">
        <f>N771+N772</f>
        <v>0</v>
      </c>
      <c r="O770" s="646">
        <f t="shared" ref="O770:O775" si="104">IF(L770&gt;0,N770*100/L770,0)</f>
        <v>0</v>
      </c>
      <c r="P770" s="646">
        <f t="shared" ref="P770:P775" si="105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184</v>
      </c>
      <c r="F771" s="758"/>
      <c r="G771" s="602"/>
      <c r="H771" s="164" t="s">
        <v>12</v>
      </c>
      <c r="I771" s="616"/>
      <c r="J771" s="616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185</v>
      </c>
      <c r="F772" s="758"/>
      <c r="G772" s="602"/>
      <c r="H772" s="164" t="s">
        <v>12</v>
      </c>
      <c r="I772" s="616"/>
      <c r="J772" s="616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5"/>
      <c r="J773" s="165"/>
      <c r="K773" s="166"/>
      <c r="L773" s="646">
        <f>L774+L775</f>
        <v>0</v>
      </c>
      <c r="M773" s="646">
        <f>M774+M775</f>
        <v>0</v>
      </c>
      <c r="N773" s="646">
        <f>N774+N775</f>
        <v>0</v>
      </c>
      <c r="O773" s="646">
        <f t="shared" si="104"/>
        <v>0</v>
      </c>
      <c r="P773" s="646">
        <f t="shared" si="105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184</v>
      </c>
      <c r="F774" s="758"/>
      <c r="G774" s="602"/>
      <c r="H774" s="164" t="s">
        <v>12</v>
      </c>
      <c r="I774" s="616"/>
      <c r="J774" s="616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185</v>
      </c>
      <c r="F775" s="758"/>
      <c r="G775" s="602"/>
      <c r="H775" s="164" t="s">
        <v>12</v>
      </c>
      <c r="I775" s="616"/>
      <c r="J775" s="616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186</v>
      </c>
      <c r="G776" s="602"/>
      <c r="H776" s="164" t="s">
        <v>12</v>
      </c>
      <c r="I776" s="616"/>
      <c r="J776" s="616"/>
      <c r="K776" s="92"/>
      <c r="L776" s="92"/>
      <c r="M776" s="92"/>
      <c r="N776" s="92"/>
      <c r="O776" s="92"/>
      <c r="P776" s="92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187</v>
      </c>
      <c r="G777" s="602"/>
      <c r="H777" s="164" t="s">
        <v>12</v>
      </c>
      <c r="I777" s="616"/>
      <c r="J777" s="616"/>
      <c r="K777" s="92"/>
      <c r="L777" s="92"/>
      <c r="M777" s="92"/>
      <c r="N777" s="92"/>
      <c r="O777" s="92"/>
      <c r="P777" s="92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188</v>
      </c>
      <c r="G778" s="602"/>
      <c r="H778" s="164" t="s">
        <v>12</v>
      </c>
      <c r="I778" s="616"/>
      <c r="J778" s="616"/>
      <c r="K778" s="92"/>
      <c r="L778" s="92"/>
      <c r="M778" s="92"/>
      <c r="N778" s="92"/>
      <c r="O778" s="92"/>
      <c r="P778" s="92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189</v>
      </c>
      <c r="G779" s="602"/>
      <c r="H779" s="164" t="s">
        <v>12</v>
      </c>
      <c r="I779" s="616"/>
      <c r="J779" s="616"/>
      <c r="K779" s="92"/>
      <c r="L779" s="92"/>
      <c r="M779" s="92"/>
      <c r="N779" s="92"/>
      <c r="O779" s="92"/>
      <c r="P779" s="92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5"/>
      <c r="J780" s="165"/>
      <c r="K780" s="166"/>
      <c r="L780" s="646">
        <f>L781+L782</f>
        <v>0</v>
      </c>
      <c r="M780" s="646">
        <f>M781+M782</f>
        <v>0</v>
      </c>
      <c r="N780" s="646">
        <f>N781+N782</f>
        <v>0</v>
      </c>
      <c r="O780" s="646">
        <f>IF(L780&gt;0,N780*100/L780,0)</f>
        <v>0</v>
      </c>
      <c r="P780" s="646">
        <f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39" t="s">
        <v>38</v>
      </c>
      <c r="E783" s="650"/>
      <c r="F783" s="650"/>
      <c r="G783" s="651"/>
      <c r="H783" s="800"/>
      <c r="I783" s="165"/>
      <c r="J783" s="165"/>
      <c r="K783" s="166"/>
      <c r="L783" s="166"/>
      <c r="M783" s="166"/>
      <c r="N783" s="166"/>
      <c r="O783" s="166"/>
      <c r="P783" s="166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318</v>
      </c>
      <c r="F784" s="758"/>
      <c r="G784" s="602"/>
      <c r="H784" s="164" t="s">
        <v>46</v>
      </c>
      <c r="I784" s="616"/>
      <c r="J784" s="616"/>
      <c r="K784" s="92"/>
      <c r="L784" s="92"/>
      <c r="M784" s="92"/>
      <c r="N784" s="92"/>
      <c r="O784" s="92"/>
      <c r="P784" s="92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319</v>
      </c>
      <c r="C785" s="803"/>
      <c r="D785" s="803"/>
      <c r="E785" s="803"/>
      <c r="F785" s="803"/>
      <c r="G785" s="804"/>
      <c r="H785" s="805" t="s">
        <v>46</v>
      </c>
      <c r="I785" s="806">
        <f ca="1">I800</f>
        <v>0</v>
      </c>
      <c r="J785" s="807">
        <f ca="1">J800</f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87" t="s">
        <v>17</v>
      </c>
      <c r="E786" s="888"/>
      <c r="F786" s="888"/>
      <c r="G786" s="188"/>
      <c r="H786" s="597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184</v>
      </c>
      <c r="F787" s="758"/>
      <c r="G787" s="602"/>
      <c r="H787" s="164" t="s">
        <v>12</v>
      </c>
      <c r="I787" s="616"/>
      <c r="J787" s="616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185</v>
      </c>
      <c r="F788" s="758"/>
      <c r="G788" s="602"/>
      <c r="H788" s="164" t="s">
        <v>12</v>
      </c>
      <c r="I788" s="616"/>
      <c r="J788" s="616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184</v>
      </c>
      <c r="F790" s="758"/>
      <c r="G790" s="602"/>
      <c r="H790" s="164" t="s">
        <v>12</v>
      </c>
      <c r="I790" s="616"/>
      <c r="J790" s="616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185</v>
      </c>
      <c r="F791" s="758"/>
      <c r="G791" s="602"/>
      <c r="H791" s="164" t="s">
        <v>12</v>
      </c>
      <c r="I791" s="616"/>
      <c r="J791" s="616"/>
      <c r="K791" s="92"/>
      <c r="L791" s="92">
        <f ca="1">IFERROR(__xludf.DUMMYFUNCTION("IMPORTRANGE(""https://docs.google.com/spreadsheets/d/1QqKyyYR6Q21VydFLVH3TRQUabQu_ym0Zz7PgGX0-kHA/edit?usp=sharing"",""แผน!JJ82"")"),0)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826">
        <v>0</v>
      </c>
      <c r="O792" s="497"/>
      <c r="P792" s="497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826">
        <v>0</v>
      </c>
      <c r="O793" s="497"/>
      <c r="P793" s="497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826">
        <v>0</v>
      </c>
      <c r="O794" s="497"/>
      <c r="P794" s="497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826">
        <v>0</v>
      </c>
      <c r="O795" s="497"/>
      <c r="P795" s="497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38" t="s">
        <v>38</v>
      </c>
      <c r="E799" s="760"/>
      <c r="F799" s="760"/>
      <c r="G799" s="612"/>
      <c r="H799" s="810"/>
      <c r="I799" s="183"/>
      <c r="J799" s="183"/>
      <c r="K799" s="162"/>
      <c r="L799" s="162"/>
      <c r="M799" s="162"/>
      <c r="N799" s="162"/>
      <c r="O799" s="162"/>
      <c r="P799" s="162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320</v>
      </c>
      <c r="G800" s="761"/>
      <c r="H800" s="184" t="s">
        <v>46</v>
      </c>
      <c r="I800" s="183">
        <f ca="1">IFERROR(__xludf.DUMMYFUNCTION("IMPORTRANGE(""https://docs.google.com/spreadsheets/d/1QqKyyYR6Q21VydFLVH3TRQUabQu_ym0Zz7PgGX0-kHA/edit?usp=sharing"",""แผน!JN82"")"),0)</f>
        <v>0</v>
      </c>
      <c r="J800" s="183">
        <f ca="1">IFERROR(__xludf.DUMMYFUNCTION("IMPORTRANGE(""https://docs.google.com/spreadsheets/d/1MaWodYyGHDf7siQLGxnXhG4mBNTNIuy296niS2xXulU/edit?usp=sharing"",""RTK!H82"")"),0)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IFERROR(__xludf.DUMMYFUNCTION("IMPORTRANGE(""https://docs.google.com/spreadsheets/d/1MaWodYyGHDf7siQLGxnXhG4mBNTNIuy296niS2xXulU/edit?usp=sharing"",""RTK!I82"")"),0)</f>
        <v>0</v>
      </c>
      <c r="K801" s="497"/>
      <c r="L801" s="497"/>
      <c r="M801" s="497"/>
      <c r="N801" s="497"/>
      <c r="O801" s="162"/>
      <c r="P801" s="162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321</v>
      </c>
      <c r="G802" s="365"/>
      <c r="H802" s="652" t="s">
        <v>46</v>
      </c>
      <c r="I802" s="165"/>
      <c r="J802" s="616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5"/>
      <c r="H803" s="652" t="s">
        <v>34</v>
      </c>
      <c r="I803" s="165"/>
      <c r="J803" s="616">
        <v>0</v>
      </c>
      <c r="K803" s="166"/>
      <c r="L803" s="166"/>
      <c r="M803" s="166"/>
      <c r="N803" s="166"/>
      <c r="O803" s="166"/>
      <c r="P803" s="166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322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92" t="s">
        <v>17</v>
      </c>
      <c r="E805" s="888"/>
      <c r="F805" s="888"/>
      <c r="G805" s="602"/>
      <c r="H805" s="645" t="s">
        <v>12</v>
      </c>
      <c r="I805" s="616"/>
      <c r="J805" s="616"/>
      <c r="K805" s="92"/>
      <c r="L805" s="646">
        <f>L806+L807</f>
        <v>0</v>
      </c>
      <c r="M805" s="646">
        <f>M806+M807</f>
        <v>0</v>
      </c>
      <c r="N805" s="646">
        <f>N806+N807</f>
        <v>0</v>
      </c>
      <c r="O805" s="646">
        <f t="shared" ref="O805:O810" si="110">IF(L805&gt;0,N805*100/L805,0)</f>
        <v>0</v>
      </c>
      <c r="P805" s="646">
        <f t="shared" ref="P805:P810" si="111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184</v>
      </c>
      <c r="F806" s="758"/>
      <c r="G806" s="602"/>
      <c r="H806" s="164" t="s">
        <v>12</v>
      </c>
      <c r="I806" s="616"/>
      <c r="J806" s="616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185</v>
      </c>
      <c r="F807" s="758"/>
      <c r="G807" s="602"/>
      <c r="H807" s="164" t="s">
        <v>12</v>
      </c>
      <c r="I807" s="616"/>
      <c r="J807" s="616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912" t="s">
        <v>20</v>
      </c>
      <c r="E808" s="888"/>
      <c r="F808" s="888"/>
      <c r="G808" s="602"/>
      <c r="H808" s="645" t="s">
        <v>12</v>
      </c>
      <c r="I808" s="165"/>
      <c r="J808" s="165"/>
      <c r="K808" s="166"/>
      <c r="L808" s="646">
        <f>L809+L810</f>
        <v>0</v>
      </c>
      <c r="M808" s="646">
        <f>M809+M810</f>
        <v>0</v>
      </c>
      <c r="N808" s="646">
        <f>N809+N810</f>
        <v>0</v>
      </c>
      <c r="O808" s="646">
        <f t="shared" si="110"/>
        <v>0</v>
      </c>
      <c r="P808" s="646">
        <f t="shared" si="111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184</v>
      </c>
      <c r="F809" s="758"/>
      <c r="G809" s="602"/>
      <c r="H809" s="164" t="s">
        <v>12</v>
      </c>
      <c r="I809" s="616"/>
      <c r="J809" s="616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185</v>
      </c>
      <c r="F810" s="758"/>
      <c r="G810" s="602"/>
      <c r="H810" s="164" t="s">
        <v>12</v>
      </c>
      <c r="I810" s="616"/>
      <c r="J810" s="616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186</v>
      </c>
      <c r="G811" s="602"/>
      <c r="H811" s="164" t="s">
        <v>12</v>
      </c>
      <c r="I811" s="616"/>
      <c r="J811" s="616"/>
      <c r="K811" s="92"/>
      <c r="L811" s="92"/>
      <c r="M811" s="92"/>
      <c r="N811" s="92"/>
      <c r="O811" s="92"/>
      <c r="P811" s="92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187</v>
      </c>
      <c r="G812" s="602"/>
      <c r="H812" s="164" t="s">
        <v>12</v>
      </c>
      <c r="I812" s="616"/>
      <c r="J812" s="616"/>
      <c r="K812" s="92"/>
      <c r="L812" s="92"/>
      <c r="M812" s="92"/>
      <c r="N812" s="92"/>
      <c r="O812" s="92"/>
      <c r="P812" s="92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188</v>
      </c>
      <c r="G813" s="602"/>
      <c r="H813" s="164" t="s">
        <v>12</v>
      </c>
      <c r="I813" s="616"/>
      <c r="J813" s="616"/>
      <c r="K813" s="92"/>
      <c r="L813" s="92"/>
      <c r="M813" s="92"/>
      <c r="N813" s="92"/>
      <c r="O813" s="92"/>
      <c r="P813" s="92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189</v>
      </c>
      <c r="G814" s="602"/>
      <c r="H814" s="164" t="s">
        <v>12</v>
      </c>
      <c r="I814" s="616"/>
      <c r="J814" s="616"/>
      <c r="K814" s="92"/>
      <c r="L814" s="92"/>
      <c r="M814" s="92"/>
      <c r="N814" s="92"/>
      <c r="O814" s="92"/>
      <c r="P814" s="92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912" t="s">
        <v>21</v>
      </c>
      <c r="E815" s="888"/>
      <c r="F815" s="888"/>
      <c r="G815" s="602"/>
      <c r="H815" s="782" t="s">
        <v>12</v>
      </c>
      <c r="I815" s="165"/>
      <c r="J815" s="165"/>
      <c r="K815" s="166"/>
      <c r="L815" s="646">
        <f>L816+L817</f>
        <v>0</v>
      </c>
      <c r="M815" s="646">
        <f>M816+M817</f>
        <v>0</v>
      </c>
      <c r="N815" s="646">
        <f>N816+N817</f>
        <v>0</v>
      </c>
      <c r="O815" s="646">
        <f>IF(L815&gt;0,N815*100/L815,0)</f>
        <v>0</v>
      </c>
      <c r="P815" s="646">
        <f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37" t="s">
        <v>38</v>
      </c>
      <c r="E818" s="650"/>
      <c r="F818" s="650"/>
      <c r="G818" s="651"/>
      <c r="H818" s="365"/>
      <c r="I818" s="165"/>
      <c r="J818" s="165"/>
      <c r="K818" s="166"/>
      <c r="L818" s="166"/>
      <c r="M818" s="166"/>
      <c r="N818" s="166"/>
      <c r="O818" s="166"/>
      <c r="P818" s="166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323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36" t="s">
        <v>344</v>
      </c>
      <c r="B820" s="834"/>
      <c r="C820" s="834"/>
      <c r="D820" s="835"/>
      <c r="E820" s="834"/>
      <c r="F820" s="834"/>
      <c r="G820" s="833"/>
      <c r="H820" s="832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1"/>
      <c r="J820" s="831"/>
      <c r="K820" s="830"/>
      <c r="L820" s="830"/>
      <c r="M820" s="830"/>
      <c r="N820" s="830"/>
      <c r="O820" s="830"/>
      <c r="P820" s="83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325</v>
      </c>
      <c r="C821" s="762"/>
      <c r="D821" s="574"/>
      <c r="E821" s="762"/>
      <c r="F821" s="762"/>
      <c r="G821" s="188"/>
      <c r="H821" s="622" t="s">
        <v>12</v>
      </c>
      <c r="I821" s="269">
        <f ca="1">IFERROR(__xludf.DUMMYFUNCTION("IMPORTRANGE(""https://docs.google.com/spreadsheets/d/19vJNZY_5yjcGF2XGBMNZRCAIB0Kwfpjp8YEOfu-bneM/edit?usp=sharing"",""งานกองทุน!D82"")"),1659588.7)</f>
        <v>1659588.7</v>
      </c>
      <c r="J821" s="269">
        <f ca="1">IFERROR(__xludf.DUMMYFUNCTION("IMPORTRANGE(""https://docs.google.com/spreadsheets/d/19vJNZY_5yjcGF2XGBMNZRCAIB0Kwfpjp8YEOfu-bneM/edit?usp=sharing"",""งานกองทุน!F82"")"),1650649.55)</f>
        <v>1650649.55</v>
      </c>
      <c r="K821" s="497">
        <f t="shared" ref="K821:K828" ca="1" si="113">IF(I821&gt;0,J821*100/I821,0)</f>
        <v>99.461363529409425</v>
      </c>
      <c r="L821" s="497"/>
      <c r="M821" s="497"/>
      <c r="N821" s="497"/>
      <c r="O821" s="497"/>
      <c r="P821" s="497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8"/>
      <c r="H822" s="622" t="s">
        <v>35</v>
      </c>
      <c r="I822" s="269">
        <f ca="1">IFERROR(__xludf.DUMMYFUNCTION("IMPORTRANGE(""https://docs.google.com/spreadsheets/d/19vJNZY_5yjcGF2XGBMNZRCAIB0Kwfpjp8YEOfu-bneM/edit?usp=sharing"",""งานกองทุน!C82"")"),149)</f>
        <v>149</v>
      </c>
      <c r="J822" s="269">
        <f ca="1">IFERROR(__xludf.DUMMYFUNCTION("IMPORTRANGE(""https://docs.google.com/spreadsheets/d/19vJNZY_5yjcGF2XGBMNZRCAIB0Kwfpjp8YEOfu-bneM/edit?usp=sharing"",""งานกองทุน!E82"")"),147)</f>
        <v>147</v>
      </c>
      <c r="K822" s="497">
        <f t="shared" ca="1" si="113"/>
        <v>98.65771812080537</v>
      </c>
      <c r="L822" s="497"/>
      <c r="M822" s="497"/>
      <c r="N822" s="497"/>
      <c r="O822" s="497"/>
      <c r="P822" s="497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326</v>
      </c>
      <c r="C823" s="762"/>
      <c r="D823" s="574"/>
      <c r="E823" s="762"/>
      <c r="F823" s="762"/>
      <c r="G823" s="188"/>
      <c r="H823" s="622" t="s">
        <v>12</v>
      </c>
      <c r="I823" s="269">
        <f ca="1">IFERROR(__xludf.DUMMYFUNCTION("IMPORTRANGE(""https://docs.google.com/spreadsheets/d/19vJNZY_5yjcGF2XGBMNZRCAIB0Kwfpjp8YEOfu-bneM/edit?usp=sharing"",""งานกองทุน!I82"")"),794344.6)</f>
        <v>794344.6</v>
      </c>
      <c r="J823" s="269">
        <f ca="1">IFERROR(__xludf.DUMMYFUNCTION("IMPORTRANGE(""https://docs.google.com/spreadsheets/d/19vJNZY_5yjcGF2XGBMNZRCAIB0Kwfpjp8YEOfu-bneM/edit?usp=sharing"",""งานกองทุน!K82"")"),119763.86)</f>
        <v>119763.86</v>
      </c>
      <c r="K823" s="497">
        <f t="shared" ca="1" si="113"/>
        <v>15.077066049168081</v>
      </c>
      <c r="L823" s="497"/>
      <c r="M823" s="497"/>
      <c r="N823" s="497"/>
      <c r="O823" s="497"/>
      <c r="P823" s="497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8"/>
      <c r="H824" s="622" t="s">
        <v>35</v>
      </c>
      <c r="I824" s="269">
        <f ca="1">IFERROR(__xludf.DUMMYFUNCTION("IMPORTRANGE(""https://docs.google.com/spreadsheets/d/19vJNZY_5yjcGF2XGBMNZRCAIB0Kwfpjp8YEOfu-bneM/edit?usp=sharing"",""งานกองทุน!H82"")"),55)</f>
        <v>55</v>
      </c>
      <c r="J824" s="269">
        <f ca="1">IFERROR(__xludf.DUMMYFUNCTION("IMPORTRANGE(""https://docs.google.com/spreadsheets/d/19vJNZY_5yjcGF2XGBMNZRCAIB0Kwfpjp8YEOfu-bneM/edit?usp=sharing"",""งานกองทุน!J82"")"),33)</f>
        <v>33</v>
      </c>
      <c r="K824" s="497">
        <f t="shared" ca="1" si="113"/>
        <v>60</v>
      </c>
      <c r="L824" s="497"/>
      <c r="M824" s="497"/>
      <c r="N824" s="497"/>
      <c r="O824" s="497"/>
      <c r="P824" s="497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327</v>
      </c>
      <c r="C825" s="762"/>
      <c r="D825" s="574"/>
      <c r="E825" s="762"/>
      <c r="F825" s="762"/>
      <c r="G825" s="188"/>
      <c r="H825" s="622" t="s">
        <v>12</v>
      </c>
      <c r="I825" s="269">
        <f ca="1">IFERROR(__xludf.DUMMYFUNCTION("IMPORTRANGE(""https://docs.google.com/spreadsheets/d/19vJNZY_5yjcGF2XGBMNZRCAIB0Kwfpjp8YEOfu-bneM/edit?usp=sharing"",""งานกองทุน!N82"")"),0)</f>
        <v>0</v>
      </c>
      <c r="J825" s="269">
        <f ca="1">IFERROR(__xludf.DUMMYFUNCTION("IMPORTRANGE(""https://docs.google.com/spreadsheets/d/19vJNZY_5yjcGF2XGBMNZRCAIB0Kwfpjp8YEOfu-bneM/edit?usp=sharing"",""งานกองทุน!P82"")"),0)</f>
        <v>0</v>
      </c>
      <c r="K825" s="497">
        <f t="shared" ca="1" si="113"/>
        <v>0</v>
      </c>
      <c r="L825" s="497"/>
      <c r="M825" s="497"/>
      <c r="N825" s="497"/>
      <c r="O825" s="497"/>
      <c r="P825" s="497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8"/>
      <c r="H826" s="622" t="s">
        <v>35</v>
      </c>
      <c r="I826" s="269">
        <f ca="1">IFERROR(__xludf.DUMMYFUNCTION("IMPORTRANGE(""https://docs.google.com/spreadsheets/d/19vJNZY_5yjcGF2XGBMNZRCAIB0Kwfpjp8YEOfu-bneM/edit?usp=sharing"",""งานกองทุน!M82"")"),0)</f>
        <v>0</v>
      </c>
      <c r="J826" s="269">
        <f ca="1">IFERROR(__xludf.DUMMYFUNCTION("IMPORTRANGE(""https://docs.google.com/spreadsheets/d/19vJNZY_5yjcGF2XGBMNZRCAIB0Kwfpjp8YEOfu-bneM/edit?usp=sharing"",""งานกองทุน!O82"")"),0)</f>
        <v>0</v>
      </c>
      <c r="K826" s="497">
        <f t="shared" ca="1" si="113"/>
        <v>0</v>
      </c>
      <c r="L826" s="497"/>
      <c r="M826" s="497"/>
      <c r="N826" s="497"/>
      <c r="O826" s="497"/>
      <c r="P826" s="497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328</v>
      </c>
      <c r="C827" s="762"/>
      <c r="D827" s="574"/>
      <c r="E827" s="762"/>
      <c r="F827" s="762"/>
      <c r="G827" s="188"/>
      <c r="H827" s="622" t="s">
        <v>12</v>
      </c>
      <c r="I827" s="269">
        <f ca="1">IFERROR(__xludf.DUMMYFUNCTION("IMPORTRANGE(""https://docs.google.com/spreadsheets/d/19vJNZY_5yjcGF2XGBMNZRCAIB0Kwfpjp8YEOfu-bneM/edit?usp=sharing"",""งานกองทุน!S82"")"),1375000)</f>
        <v>1375000</v>
      </c>
      <c r="J827" s="269">
        <f ca="1">IFERROR(__xludf.DUMMYFUNCTION("IMPORTRANGE(""https://docs.google.com/spreadsheets/d/19vJNZY_5yjcGF2XGBMNZRCAIB0Kwfpjp8YEOfu-bneM/edit?usp=sharing"",""งานกองทุน!U82"")"),1375000)</f>
        <v>1375000</v>
      </c>
      <c r="K827" s="497">
        <f t="shared" ca="1" si="113"/>
        <v>100</v>
      </c>
      <c r="L827" s="497"/>
      <c r="M827" s="497"/>
      <c r="N827" s="497"/>
      <c r="O827" s="497"/>
      <c r="P827" s="497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827"/>
      <c r="B828" s="748"/>
      <c r="C828" s="748"/>
      <c r="D828" s="747"/>
      <c r="E828" s="748"/>
      <c r="F828" s="748"/>
      <c r="G828" s="828"/>
      <c r="H828" s="829" t="s">
        <v>35</v>
      </c>
      <c r="I828" s="505">
        <f ca="1">IFERROR(__xludf.DUMMYFUNCTION("IMPORTRANGE(""https://docs.google.com/spreadsheets/d/19vJNZY_5yjcGF2XGBMNZRCAIB0Kwfpjp8YEOfu-bneM/edit?usp=sharing"",""งานกองทุน!R82"")"),46)</f>
        <v>46</v>
      </c>
      <c r="J828" s="505">
        <f ca="1">IFERROR(__xludf.DUMMYFUNCTION("IMPORTRANGE(""https://docs.google.com/spreadsheets/d/19vJNZY_5yjcGF2XGBMNZRCAIB0Kwfpjp8YEOfu-bneM/edit?usp=sharing"",""งานกองทุน!T82"")"),46)</f>
        <v>46</v>
      </c>
      <c r="K828" s="506">
        <f t="shared" ca="1" si="113"/>
        <v>100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 gridLines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29</vt:i4>
      </vt:variant>
    </vt:vector>
  </HeadingPairs>
  <TitlesOfParts>
    <vt:vector size="44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กระบี่!Print_Area</vt:lpstr>
      <vt:lpstr>ชุมพร!Print_Area</vt:lpstr>
      <vt:lpstr>ตรัง!Print_Area</vt:lpstr>
      <vt:lpstr>นครศรีธรรมราช!Print_Area</vt:lpstr>
      <vt:lpstr>นราธิวาส!Print_Area</vt:lpstr>
      <vt:lpstr>ปัตตานี!Print_Area</vt:lpstr>
      <vt:lpstr>พังงา!Print_Area</vt:lpstr>
      <vt:lpstr>พัทลุง!Print_Area</vt:lpstr>
      <vt:lpstr>ยะลา!Print_Area</vt:lpstr>
      <vt:lpstr>รวมใต้!Print_Area</vt:lpstr>
      <vt:lpstr>ระนอง!Print_Area</vt:lpstr>
      <vt:lpstr>สงขลา!Print_Area</vt:lpstr>
      <vt:lpstr>สตูล!Print_Area</vt:lpstr>
      <vt:lpstr>สุราษฎร์ธานี!Print_Area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dcterms:created xsi:type="dcterms:W3CDTF">2023-11-28T06:50:19Z</dcterms:created>
  <dcterms:modified xsi:type="dcterms:W3CDTF">2023-11-28T08:39:18Z</dcterms:modified>
</cp:coreProperties>
</file>